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Users/jesperborgstrup/Downloads/"/>
    </mc:Choice>
  </mc:AlternateContent>
  <xr:revisionPtr revIDLastSave="0" documentId="13_ncr:1_{A9C9F21A-25B1-A946-9821-F95B1F67A286}" xr6:coauthVersionLast="47" xr6:coauthVersionMax="47" xr10:uidLastSave="{00000000-0000-0000-0000-000000000000}"/>
  <bookViews>
    <workbookView xWindow="0" yWindow="600" windowWidth="38640" windowHeight="21120" activeTab="5" xr2:uid="{0D26F29A-61DE-4D33-AD42-14679AF747CD}"/>
  </bookViews>
  <sheets>
    <sheet name="Introduction" sheetId="5" r:id="rId1"/>
    <sheet name="Stock" sheetId="14" r:id="rId2"/>
    <sheet name="ETF" sheetId="13" r:id="rId3"/>
    <sheet name="Mutual Funds" sheetId="4" r:id="rId4"/>
    <sheet name="AIF's" sheetId="16" r:id="rId5"/>
    <sheet name="Commision &amp; FX"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6" l="1"/>
  <c r="D34" i="16" s="1"/>
  <c r="C29" i="16" l="1"/>
  <c r="C26" i="13"/>
  <c r="C26" i="4"/>
  <c r="C28" i="16"/>
  <c r="D28" i="16" s="1"/>
  <c r="C25" i="16"/>
  <c r="C24" i="16"/>
  <c r="C22" i="16"/>
  <c r="C15" i="4"/>
  <c r="C15" i="14"/>
  <c r="C15" i="13"/>
  <c r="D23" i="8"/>
  <c r="C27" i="16" l="1"/>
  <c r="D27" i="16" s="1"/>
  <c r="C21" i="16"/>
  <c r="C31" i="16" s="1"/>
  <c r="D15" i="14"/>
  <c r="D25" i="16"/>
  <c r="D24" i="16"/>
  <c r="D22" i="16"/>
  <c r="D29" i="16"/>
  <c r="F23" i="8"/>
  <c r="C23" i="8"/>
  <c r="F31" i="8"/>
  <c r="C18" i="4"/>
  <c r="C17" i="4" s="1"/>
  <c r="D17" i="4" s="1"/>
  <c r="C18" i="13"/>
  <c r="C17" i="13" s="1"/>
  <c r="D17" i="13" s="1"/>
  <c r="C35" i="16" l="1"/>
  <c r="C20" i="16"/>
  <c r="D20" i="16" s="1"/>
  <c r="D21" i="16"/>
  <c r="C21" i="4"/>
  <c r="C20" i="4" s="1"/>
  <c r="D20" i="4" s="1"/>
  <c r="C26" i="14"/>
  <c r="D26" i="13"/>
  <c r="F3" i="8"/>
  <c r="C14" i="14" s="1"/>
  <c r="C13" i="14" s="1"/>
  <c r="F4" i="8"/>
  <c r="F5" i="8"/>
  <c r="F6" i="8"/>
  <c r="F7" i="8"/>
  <c r="F8" i="8"/>
  <c r="F9" i="8"/>
  <c r="F10" i="8"/>
  <c r="F11" i="8"/>
  <c r="F12" i="8"/>
  <c r="F13" i="8"/>
  <c r="F14" i="8"/>
  <c r="F15" i="8"/>
  <c r="F16" i="8"/>
  <c r="F17" i="8"/>
  <c r="F18" i="8"/>
  <c r="F19" i="8"/>
  <c r="F20" i="8"/>
  <c r="F21" i="8"/>
  <c r="F22" i="8"/>
  <c r="F24" i="8"/>
  <c r="F25" i="8"/>
  <c r="F26" i="8"/>
  <c r="F27" i="8"/>
  <c r="F28" i="8"/>
  <c r="F29" i="8"/>
  <c r="F30" i="8"/>
  <c r="D31" i="16" l="1"/>
  <c r="D35" i="16"/>
  <c r="C14" i="4"/>
  <c r="C23" i="4" s="1"/>
  <c r="D23" i="4" s="1"/>
  <c r="D21" i="4"/>
  <c r="D26" i="4"/>
  <c r="D15" i="13"/>
  <c r="C14" i="13"/>
  <c r="D26" i="14"/>
  <c r="D18" i="13"/>
  <c r="D14" i="4" l="1"/>
  <c r="C13" i="4"/>
  <c r="D13" i="4" s="1"/>
  <c r="D14" i="14"/>
  <c r="D13" i="14"/>
  <c r="D14" i="13"/>
  <c r="C13" i="13"/>
  <c r="D13" i="13" s="1"/>
  <c r="C23" i="14"/>
  <c r="D23" i="14" s="1"/>
  <c r="D18" i="4"/>
  <c r="C23" i="13"/>
  <c r="D23" i="13" s="1"/>
  <c r="D15" i="4"/>
  <c r="C27" i="14" l="1"/>
  <c r="D27" i="14" s="1"/>
  <c r="C27" i="13"/>
  <c r="D27" i="13" s="1"/>
  <c r="C27" i="4"/>
  <c r="D27" i="4" s="1"/>
</calcChain>
</file>

<file path=xl/sharedStrings.xml><?xml version="1.0" encoding="utf-8"?>
<sst xmlns="http://schemas.openxmlformats.org/spreadsheetml/2006/main" count="190" uniqueCount="91">
  <si>
    <t>Summary</t>
  </si>
  <si>
    <t>Costs related to investment service</t>
  </si>
  <si>
    <t>Assumptions</t>
  </si>
  <si>
    <t>Country</t>
  </si>
  <si>
    <t>Portugal</t>
  </si>
  <si>
    <t>Israel</t>
  </si>
  <si>
    <t>Min. Commission</t>
  </si>
  <si>
    <t>Exchange Rate to DKK</t>
  </si>
  <si>
    <t>Denmark</t>
  </si>
  <si>
    <t>Sweden</t>
  </si>
  <si>
    <t>Norway</t>
  </si>
  <si>
    <t>Germany</t>
  </si>
  <si>
    <t>France</t>
  </si>
  <si>
    <t>Italy</t>
  </si>
  <si>
    <t>Spain</t>
  </si>
  <si>
    <t>Belgium</t>
  </si>
  <si>
    <t>Netherlands</t>
  </si>
  <si>
    <t>Austria</t>
  </si>
  <si>
    <t>Estonia</t>
  </si>
  <si>
    <t>Latvia</t>
  </si>
  <si>
    <t>Lithuania</t>
  </si>
  <si>
    <t>UK</t>
  </si>
  <si>
    <t>Switzerland</t>
  </si>
  <si>
    <t>Czech Republic</t>
  </si>
  <si>
    <t>Hungary</t>
  </si>
  <si>
    <t>Poland</t>
  </si>
  <si>
    <t>USA</t>
  </si>
  <si>
    <t>Canada</t>
  </si>
  <si>
    <t>Mexico</t>
  </si>
  <si>
    <t>Australia</t>
  </si>
  <si>
    <t>China</t>
  </si>
  <si>
    <t>Japan</t>
  </si>
  <si>
    <t>Hong Kong</t>
  </si>
  <si>
    <t>Taiwan</t>
  </si>
  <si>
    <t>Singapore</t>
  </si>
  <si>
    <t>FX Rate</t>
  </si>
  <si>
    <t>Transaction costs</t>
  </si>
  <si>
    <t>Gross return before costs</t>
  </si>
  <si>
    <t>Gross return after costs</t>
  </si>
  <si>
    <t>Cost</t>
  </si>
  <si>
    <t>Mutual Funds Example</t>
  </si>
  <si>
    <t>Editable Cells</t>
  </si>
  <si>
    <t>DKK</t>
  </si>
  <si>
    <t>%</t>
  </si>
  <si>
    <t>Stock Example</t>
  </si>
  <si>
    <t>ETF Example</t>
  </si>
  <si>
    <t>Min. Commission (DKK)</t>
  </si>
  <si>
    <t>Min. Commission (%)</t>
  </si>
  <si>
    <t>Financial instrument costs charged by third parties</t>
  </si>
  <si>
    <t>Third partypayments received by the firm</t>
  </si>
  <si>
    <t>Ex-Ante Costs &amp; Charges Disclosure</t>
  </si>
  <si>
    <t>Introduction</t>
  </si>
  <si>
    <t>For simplification and ease of understanding, the calculations are based on the following assumptions:</t>
  </si>
  <si>
    <t>- You can create different scenarios by changing country of asset, initial investment, holding period, expected annual return, running costs and transaction costs.</t>
  </si>
  <si>
    <t>- All amounts are in DKK</t>
  </si>
  <si>
    <t>- The assumption is made that you sell the asset at the end of the holding period to show the impact on costs of closing the position</t>
  </si>
  <si>
    <t>Remember that the value of investments can go up as well as down and you may receive less than your original investment or lose the value of your entire initial investment. Past performance and forecasts are not a reliable indicator of future results. Currency rate fluctuations can adversely impact the overall returns on your original investment</t>
  </si>
  <si>
    <t>- Our commission is based on either the percentage-based commission or the fixed commission, whichever is highest. For a detailed breakdown of our fees and further information, please visit our website.</t>
  </si>
  <si>
    <t>Disclaimer</t>
  </si>
  <si>
    <t>The aim of this cost calculator is to explain to you the imnpact of various costs and charges on your investments by providing examples on an illustrative basis. These examples can be found per instrument type in different sheets in this file.
The estimated return is used solely for illustrative purposes to demonstrate the costs and charges should not be interpreted as the expected return for any given instrument.
Although these examples are based on actual incurred costs (or reasonable estimations of such costs) as a proxy for expected costs and charges, actual costs and charges incurred in respect of any future transaction may be different.
This document and the information provided herein are for informative and illustrative purposes only. This document is not suitable, and should not be relied on, for tax, legal or accounting purposes.
The model is reviewed and updated annually or whenever there are significant changes to the inputs or assumptions.
Although these examples are based on actual incurred costs (or reasonable estimations of such costs) as a proxy for expected costs and charges, actual costs and charges incurred in respect of any future transaction may be different.</t>
  </si>
  <si>
    <t>Running costs</t>
  </si>
  <si>
    <t>Commision (buy &amp; sell)</t>
  </si>
  <si>
    <t>FX fee (buy &amp; sell)</t>
  </si>
  <si>
    <t>- Running costs do not take into account any compound effect.</t>
  </si>
  <si>
    <t>Return before costs</t>
  </si>
  <si>
    <t>Return after costs</t>
  </si>
  <si>
    <t>-</t>
  </si>
  <si>
    <t>0,07%</t>
  </si>
  <si>
    <t>FX rate</t>
  </si>
  <si>
    <t>Country of asset</t>
  </si>
  <si>
    <t>Initial investment</t>
  </si>
  <si>
    <t>Holding period</t>
  </si>
  <si>
    <t>Expected annual return</t>
  </si>
  <si>
    <t>Third party transaction costs</t>
  </si>
  <si>
    <t>Running cost</t>
  </si>
  <si>
    <t>Total costs</t>
  </si>
  <si>
    <t>Alternative Investment Funds Example</t>
  </si>
  <si>
    <t>Subscription fee to investors</t>
  </si>
  <si>
    <t>Exit fee to investor</t>
  </si>
  <si>
    <t>Fee on asset purchases</t>
  </si>
  <si>
    <t>Fee on asset sales</t>
  </si>
  <si>
    <t>Fee on loan acquisition</t>
  </si>
  <si>
    <t>Capital increase execution cost</t>
  </si>
  <si>
    <t>Management fee</t>
  </si>
  <si>
    <t>Ongoing fund operating expenses</t>
  </si>
  <si>
    <t>Performance fee on positive resurns</t>
  </si>
  <si>
    <t>Transaction costs at exit</t>
  </si>
  <si>
    <t>Transaction cost at entry</t>
  </si>
  <si>
    <t>Third party payments received by the firm</t>
  </si>
  <si>
    <t>Version: 10/3-2026</t>
  </si>
  <si>
    <t>- Currency rate as of ealy March, 2026, is used.The model assumes that exchange rates between different currencies will not fluctuate during the holding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</si>
</sst>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kr.&quot;_-;\-* #,##0.00\ &quot;kr.&quot;_-;_-* &quot;-&quot;??\ &quot;kr.&quot;_-;_-@_-"/>
    <numFmt numFmtId="43" formatCode="_-* #,##0.00_-;\-* #,##0.00_-;_-* &quot;-&quot;??_-;_-@_-"/>
    <numFmt numFmtId="164" formatCode="_-* #,##0\ &quot;kr.&quot;_-;\-* #,##0\ &quot;kr.&quot;_-;_-* &quot;-&quot;??\ &quot;kr.&quot;_-;_-@_-"/>
    <numFmt numFmtId="165" formatCode="_-* #,##0.000\ &quot;kr.&quot;_-;\-* #,##0.000\ &quot;kr.&quot;_-;_-* &quot;-&quot;??\ &quot;kr.&quot;_-;_-@_-"/>
    <numFmt numFmtId="166" formatCode="#&quot; EUR&quot;"/>
    <numFmt numFmtId="167" formatCode="##0\ &quot;NOK&quot;"/>
    <numFmt numFmtId="168" formatCode="##&quot; DKK&quot;"/>
    <numFmt numFmtId="169" formatCode="##&quot; SEK&quot;"/>
    <numFmt numFmtId="170" formatCode="##&quot; CZK&quot;"/>
    <numFmt numFmtId="171" formatCode="###&quot; HUF&quot;"/>
    <numFmt numFmtId="172" formatCode="##&quot; PLN&quot;"/>
    <numFmt numFmtId="173" formatCode="###&quot; ILS&quot;"/>
    <numFmt numFmtId="174" formatCode="#&quot; CAD&quot;"/>
    <numFmt numFmtId="175" formatCode="##&quot; CNH&quot;"/>
    <numFmt numFmtId="176" formatCode="###&quot; JPY&quot;"/>
    <numFmt numFmtId="177" formatCode="##&quot; HKD&quot;"/>
    <numFmt numFmtId="178" formatCode="###&quot; TWD&quot;"/>
    <numFmt numFmtId="179" formatCode="0\ &quot;Years&quot;"/>
    <numFmt numFmtId="180" formatCode="0.0000000"/>
    <numFmt numFmtId="181" formatCode="#&quot; USD&quot;"/>
    <numFmt numFmtId="182" formatCode="#,##0.0&quot; GBP&quot;"/>
    <numFmt numFmtId="183" formatCode="#,##0.0&quot; CHF&quot;"/>
    <numFmt numFmtId="184" formatCode="#,##0.0&quot; MXN&quot;"/>
    <numFmt numFmtId="185" formatCode="#,##0.0&quot; SGD&quot;"/>
    <numFmt numFmtId="186" formatCode="#,###&quot; DKK&quot;"/>
    <numFmt numFmtId="187" formatCode="0.0%"/>
  </numFmts>
  <fonts count="18" x14ac:knownFonts="1">
    <font>
      <sz val="11"/>
      <color theme="1"/>
      <name val="Aptos Narrow"/>
      <family val="2"/>
      <scheme val="minor"/>
    </font>
    <font>
      <sz val="11"/>
      <color theme="1"/>
      <name val="Aptos Narrow"/>
      <family val="2"/>
      <scheme val="minor"/>
    </font>
    <font>
      <b/>
      <sz val="15"/>
      <color theme="3"/>
      <name val="Aptos Narrow"/>
      <family val="2"/>
      <scheme val="minor"/>
    </font>
    <font>
      <sz val="11"/>
      <color rgb="FF3F3F76"/>
      <name val="Aptos Narrow"/>
      <family val="2"/>
      <scheme val="minor"/>
    </font>
    <font>
      <u/>
      <sz val="11"/>
      <color theme="10"/>
      <name val="Aptos Narrow"/>
      <family val="2"/>
      <scheme val="minor"/>
    </font>
    <font>
      <sz val="10"/>
      <color theme="1"/>
      <name val="Arial"/>
      <family val="2"/>
    </font>
    <font>
      <b/>
      <sz val="10"/>
      <color theme="1"/>
      <name val="Arial"/>
      <family val="2"/>
    </font>
    <font>
      <sz val="10"/>
      <name val="Arial"/>
      <family val="2"/>
    </font>
    <font>
      <b/>
      <sz val="11"/>
      <color theme="1"/>
      <name val="Arial"/>
      <family val="2"/>
    </font>
    <font>
      <b/>
      <sz val="14"/>
      <color theme="1"/>
      <name val="Arial"/>
      <family val="2"/>
    </font>
    <font>
      <sz val="10"/>
      <color rgb="FF000000"/>
      <name val="Arial"/>
      <family val="2"/>
    </font>
    <font>
      <b/>
      <sz val="10"/>
      <color rgb="FF000000"/>
      <name val="Arial"/>
      <family val="2"/>
    </font>
    <font>
      <sz val="11"/>
      <color theme="1"/>
      <name val="Arial"/>
      <family val="2"/>
    </font>
    <font>
      <b/>
      <sz val="18"/>
      <color theme="1"/>
      <name val="Arial"/>
      <family val="2"/>
    </font>
    <font>
      <sz val="8"/>
      <color theme="1"/>
      <name val="Arial"/>
      <family val="2"/>
    </font>
    <font>
      <u/>
      <sz val="10"/>
      <color theme="10"/>
      <name val="Arial"/>
      <family val="2"/>
    </font>
    <font>
      <b/>
      <sz val="10"/>
      <color indexed="8"/>
      <name val="Arial"/>
      <family val="2"/>
    </font>
    <font>
      <sz val="10"/>
      <color indexed="8"/>
      <name val="Arial"/>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9" tint="0.59999389629810485"/>
        <bgColor indexed="64"/>
      </patternFill>
    </fill>
    <fill>
      <patternFill patternType="solid">
        <fgColor rgb="FFB5E7A2"/>
        <bgColor indexed="64"/>
      </patternFill>
    </fill>
  </fills>
  <borders count="22">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2" applyNumberFormat="0" applyAlignment="0" applyProtection="0"/>
    <xf numFmtId="43" fontId="2" fillId="3" borderId="1">
      <alignment horizontal="center"/>
    </xf>
    <xf numFmtId="0" fontId="4" fillId="0" borderId="0" applyNumberFormat="0" applyFill="0" applyBorder="0" applyAlignment="0" applyProtection="0"/>
  </cellStyleXfs>
  <cellXfs count="109">
    <xf numFmtId="0" fontId="0" fillId="0" borderId="0" xfId="0"/>
    <xf numFmtId="0" fontId="0" fillId="0" borderId="0" xfId="0" applyAlignment="1">
      <alignment vertical="center" wrapText="1"/>
    </xf>
    <xf numFmtId="0" fontId="5" fillId="0" borderId="0" xfId="0" applyFont="1"/>
    <xf numFmtId="0" fontId="5" fillId="3" borderId="0" xfId="0" applyFont="1" applyFill="1"/>
    <xf numFmtId="0" fontId="6" fillId="0" borderId="0" xfId="0" applyFont="1"/>
    <xf numFmtId="0" fontId="6" fillId="0" borderId="0" xfId="0" applyFont="1" applyAlignment="1">
      <alignment horizontal="center"/>
    </xf>
    <xf numFmtId="10" fontId="0" fillId="0" borderId="0" xfId="2" applyNumberFormat="1" applyFont="1"/>
    <xf numFmtId="164" fontId="6"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164" fontId="5" fillId="0" borderId="0" xfId="0" applyNumberFormat="1" applyFont="1" applyAlignment="1">
      <alignment horizontal="left" vertical="center"/>
    </xf>
    <xf numFmtId="0" fontId="5" fillId="0" borderId="8" xfId="0" applyFont="1" applyBorder="1" applyAlignment="1">
      <alignment horizontal="left" vertical="center"/>
    </xf>
    <xf numFmtId="164" fontId="5" fillId="0" borderId="8" xfId="0" applyNumberFormat="1" applyFont="1" applyBorder="1" applyAlignment="1">
      <alignment horizontal="left" vertical="center"/>
    </xf>
    <xf numFmtId="164" fontId="6" fillId="0" borderId="11" xfId="0" applyNumberFormat="1" applyFont="1" applyBorder="1" applyAlignment="1">
      <alignment horizontal="left" vertical="center"/>
    </xf>
    <xf numFmtId="0" fontId="5" fillId="0" borderId="16" xfId="0" applyFont="1" applyBorder="1"/>
    <xf numFmtId="164" fontId="5" fillId="0" borderId="8" xfId="0" applyNumberFormat="1" applyFont="1" applyBorder="1" applyAlignment="1">
      <alignment horizontal="center" vertical="center"/>
    </xf>
    <xf numFmtId="0" fontId="0" fillId="0" borderId="0" xfId="0" applyAlignment="1">
      <alignment horizontal="center" vertical="center" wrapText="1"/>
    </xf>
    <xf numFmtId="180" fontId="5" fillId="0" borderId="0" xfId="0" applyNumberFormat="1" applyFont="1"/>
    <xf numFmtId="164" fontId="5" fillId="0" borderId="0" xfId="0" applyNumberFormat="1" applyFont="1"/>
    <xf numFmtId="0" fontId="5" fillId="0" borderId="0" xfId="0" applyFont="1" applyAlignment="1">
      <alignment horizontal="right"/>
    </xf>
    <xf numFmtId="0" fontId="8" fillId="0" borderId="5" xfId="0" applyFont="1" applyBorder="1"/>
    <xf numFmtId="0" fontId="8" fillId="0" borderId="13" xfId="0" applyFont="1" applyBorder="1"/>
    <xf numFmtId="0" fontId="12" fillId="0" borderId="6" xfId="0" applyFont="1" applyBorder="1" applyAlignment="1">
      <alignment vertical="center" wrapText="1"/>
    </xf>
    <xf numFmtId="168" fontId="12" fillId="0" borderId="6" xfId="0" applyNumberFormat="1" applyFont="1" applyBorder="1" applyAlignment="1">
      <alignment horizontal="center" vertical="center" wrapText="1"/>
    </xf>
    <xf numFmtId="44" fontId="12" fillId="0" borderId="4" xfId="0" applyNumberFormat="1" applyFont="1" applyBorder="1" applyAlignment="1">
      <alignment horizontal="right" vertical="center" wrapText="1"/>
    </xf>
    <xf numFmtId="44" fontId="12" fillId="0" borderId="6" xfId="0" applyNumberFormat="1" applyFont="1" applyBorder="1" applyAlignment="1">
      <alignment horizontal="right"/>
    </xf>
    <xf numFmtId="169" fontId="12" fillId="0" borderId="6" xfId="0" applyNumberFormat="1" applyFont="1" applyBorder="1" applyAlignment="1">
      <alignment horizontal="center"/>
    </xf>
    <xf numFmtId="166" fontId="12" fillId="0" borderId="6" xfId="0" applyNumberFormat="1" applyFont="1" applyBorder="1" applyAlignment="1">
      <alignment horizontal="center"/>
    </xf>
    <xf numFmtId="182" fontId="12" fillId="0" borderId="6" xfId="0" applyNumberFormat="1" applyFont="1" applyBorder="1" applyAlignment="1">
      <alignment horizontal="center"/>
    </xf>
    <xf numFmtId="183" fontId="12" fillId="0" borderId="6" xfId="0" applyNumberFormat="1" applyFont="1" applyBorder="1" applyAlignment="1">
      <alignment horizontal="center"/>
    </xf>
    <xf numFmtId="170" fontId="12" fillId="0" borderId="6" xfId="0" applyNumberFormat="1" applyFont="1" applyBorder="1" applyAlignment="1">
      <alignment horizontal="center"/>
    </xf>
    <xf numFmtId="171" fontId="12" fillId="0" borderId="6" xfId="0" applyNumberFormat="1" applyFont="1" applyBorder="1" applyAlignment="1">
      <alignment horizontal="center"/>
    </xf>
    <xf numFmtId="165" fontId="12" fillId="0" borderId="4" xfId="0" applyNumberFormat="1" applyFont="1" applyBorder="1" applyAlignment="1">
      <alignment horizontal="right" vertical="center" wrapText="1"/>
    </xf>
    <xf numFmtId="172" fontId="12" fillId="0" borderId="6" xfId="0" applyNumberFormat="1" applyFont="1" applyBorder="1" applyAlignment="1">
      <alignment horizontal="center"/>
    </xf>
    <xf numFmtId="173" fontId="12" fillId="0" borderId="6" xfId="0" applyNumberFormat="1" applyFont="1" applyBorder="1" applyAlignment="1">
      <alignment horizontal="center"/>
    </xf>
    <xf numFmtId="181" fontId="12" fillId="0" borderId="6" xfId="0" applyNumberFormat="1" applyFont="1" applyBorder="1" applyAlignment="1">
      <alignment horizontal="center"/>
    </xf>
    <xf numFmtId="174" fontId="12" fillId="0" borderId="6" xfId="0" applyNumberFormat="1" applyFont="1" applyBorder="1" applyAlignment="1">
      <alignment horizontal="center"/>
    </xf>
    <xf numFmtId="184" fontId="12" fillId="0" borderId="6" xfId="0" applyNumberFormat="1" applyFont="1" applyBorder="1" applyAlignment="1">
      <alignment horizontal="center"/>
    </xf>
    <xf numFmtId="175" fontId="12" fillId="0" borderId="6" xfId="0" applyNumberFormat="1" applyFont="1" applyBorder="1" applyAlignment="1">
      <alignment horizontal="center"/>
    </xf>
    <xf numFmtId="176" fontId="12" fillId="0" borderId="6" xfId="0" applyNumberFormat="1" applyFont="1" applyBorder="1" applyAlignment="1">
      <alignment horizontal="center"/>
    </xf>
    <xf numFmtId="165" fontId="12" fillId="0" borderId="4" xfId="0" applyNumberFormat="1" applyFont="1" applyBorder="1" applyAlignment="1">
      <alignment horizontal="right"/>
    </xf>
    <xf numFmtId="177" fontId="12" fillId="0" borderId="6" xfId="0" applyNumberFormat="1" applyFont="1" applyBorder="1" applyAlignment="1">
      <alignment horizontal="center"/>
    </xf>
    <xf numFmtId="178" fontId="12" fillId="0" borderId="6" xfId="0" applyNumberFormat="1" applyFont="1" applyBorder="1" applyAlignment="1">
      <alignment horizontal="center"/>
    </xf>
    <xf numFmtId="0" fontId="12" fillId="0" borderId="9" xfId="0" applyFont="1" applyBorder="1" applyAlignment="1">
      <alignment vertical="center" wrapText="1"/>
    </xf>
    <xf numFmtId="185" fontId="12" fillId="0" borderId="9" xfId="0" applyNumberFormat="1" applyFont="1" applyBorder="1" applyAlignment="1">
      <alignment horizontal="center"/>
    </xf>
    <xf numFmtId="44" fontId="12" fillId="0" borderId="10" xfId="0" applyNumberFormat="1" applyFont="1" applyBorder="1" applyAlignment="1">
      <alignment horizontal="right" vertical="center" wrapText="1"/>
    </xf>
    <xf numFmtId="44" fontId="12" fillId="0" borderId="9" xfId="0" applyNumberFormat="1" applyFont="1" applyBorder="1" applyAlignment="1">
      <alignment horizontal="right"/>
    </xf>
    <xf numFmtId="0" fontId="12" fillId="0" borderId="0" xfId="0" applyFont="1"/>
    <xf numFmtId="0" fontId="13" fillId="0" borderId="0" xfId="0" applyFont="1"/>
    <xf numFmtId="0" fontId="12" fillId="0" borderId="0" xfId="0" applyFont="1" applyAlignment="1">
      <alignment vertical="top"/>
    </xf>
    <xf numFmtId="0" fontId="11"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wrapText="1"/>
    </xf>
    <xf numFmtId="0" fontId="5" fillId="0" borderId="0" xfId="0" quotePrefix="1" applyFont="1" applyAlignment="1">
      <alignment wrapText="1"/>
    </xf>
    <xf numFmtId="0" fontId="10" fillId="0" borderId="0" xfId="0" quotePrefix="1" applyFont="1" applyAlignment="1">
      <alignment vertical="center" wrapText="1"/>
    </xf>
    <xf numFmtId="0" fontId="5" fillId="3" borderId="0" xfId="0" applyFont="1" applyFill="1" applyAlignment="1">
      <alignment wrapText="1"/>
    </xf>
    <xf numFmtId="0" fontId="6" fillId="0" borderId="0" xfId="0" applyFont="1" applyAlignment="1">
      <alignment wrapText="1"/>
    </xf>
    <xf numFmtId="0" fontId="14" fillId="0" borderId="0" xfId="0" applyFont="1"/>
    <xf numFmtId="0" fontId="15" fillId="0" borderId="0" xfId="5" applyFont="1" applyAlignment="1">
      <alignment wrapText="1"/>
    </xf>
    <xf numFmtId="166" fontId="12" fillId="0" borderId="6" xfId="0" applyNumberFormat="1" applyFont="1" applyBorder="1" applyAlignment="1">
      <alignment horizontal="center" vertical="center"/>
    </xf>
    <xf numFmtId="0" fontId="5" fillId="4" borderId="4" xfId="0" applyFont="1" applyFill="1" applyBorder="1" applyAlignment="1">
      <alignment horizontal="center" vertical="center"/>
    </xf>
    <xf numFmtId="179" fontId="7" fillId="4" borderId="4" xfId="3" applyNumberFormat="1" applyFont="1" applyFill="1" applyBorder="1" applyAlignment="1">
      <alignment horizontal="center" vertical="center"/>
    </xf>
    <xf numFmtId="9" fontId="7" fillId="4" borderId="4" xfId="3" applyNumberFormat="1" applyFont="1" applyFill="1" applyBorder="1" applyAlignment="1">
      <alignment horizontal="center" vertical="center"/>
    </xf>
    <xf numFmtId="10" fontId="7" fillId="4" borderId="4" xfId="3" applyNumberFormat="1" applyFont="1" applyFill="1" applyBorder="1" applyAlignment="1">
      <alignment horizontal="center" vertical="center"/>
    </xf>
    <xf numFmtId="10" fontId="7" fillId="4" borderId="15" xfId="3" applyNumberFormat="1" applyFont="1" applyFill="1" applyBorder="1" applyAlignment="1">
      <alignment horizontal="center" vertical="center"/>
    </xf>
    <xf numFmtId="167" fontId="12" fillId="0" borderId="6" xfId="0" applyNumberFormat="1" applyFont="1" applyBorder="1" applyAlignment="1">
      <alignment horizontal="center" vertical="center"/>
    </xf>
    <xf numFmtId="186" fontId="7" fillId="4" borderId="4" xfId="1" applyNumberFormat="1" applyFont="1" applyFill="1" applyBorder="1" applyAlignment="1">
      <alignment horizontal="center" vertical="center"/>
    </xf>
    <xf numFmtId="187" fontId="5" fillId="0" borderId="3" xfId="2" applyNumberFormat="1" applyFont="1" applyBorder="1" applyAlignment="1">
      <alignment horizontal="right" vertical="center"/>
    </xf>
    <xf numFmtId="187" fontId="5" fillId="0" borderId="7" xfId="2" applyNumberFormat="1" applyFont="1" applyBorder="1" applyAlignment="1">
      <alignment horizontal="right" vertical="center"/>
    </xf>
    <xf numFmtId="187" fontId="6" fillId="0" borderId="3" xfId="2" applyNumberFormat="1" applyFont="1" applyBorder="1" applyAlignment="1">
      <alignment vertical="center"/>
    </xf>
    <xf numFmtId="187" fontId="6" fillId="0" borderId="12" xfId="2" applyNumberFormat="1" applyFont="1" applyBorder="1" applyAlignment="1">
      <alignment vertical="center"/>
    </xf>
    <xf numFmtId="164" fontId="6" fillId="0" borderId="16" xfId="0" applyNumberFormat="1" applyFont="1" applyBorder="1" applyAlignment="1">
      <alignment vertical="center"/>
    </xf>
    <xf numFmtId="164" fontId="6" fillId="0" borderId="16" xfId="0" applyNumberFormat="1" applyFont="1" applyBorder="1" applyAlignment="1">
      <alignment horizontal="right" vertical="center"/>
    </xf>
    <xf numFmtId="164" fontId="6" fillId="0" borderId="18" xfId="0" applyNumberFormat="1" applyFont="1" applyBorder="1" applyAlignment="1">
      <alignment horizontal="right"/>
    </xf>
    <xf numFmtId="164" fontId="6" fillId="0" borderId="18" xfId="0" applyNumberFormat="1" applyFont="1" applyBorder="1" applyAlignment="1">
      <alignment horizontal="right" indent="1"/>
    </xf>
    <xf numFmtId="187" fontId="6" fillId="0" borderId="0" xfId="2" applyNumberFormat="1" applyFont="1" applyAlignment="1">
      <alignment horizontal="right"/>
    </xf>
    <xf numFmtId="187" fontId="5" fillId="0" borderId="0" xfId="2" applyNumberFormat="1" applyFont="1" applyBorder="1" applyAlignment="1">
      <alignment horizontal="right" vertical="center"/>
    </xf>
    <xf numFmtId="164" fontId="5" fillId="0" borderId="0" xfId="0" applyNumberFormat="1" applyFont="1" applyAlignment="1">
      <alignment horizontal="center" vertical="center"/>
    </xf>
    <xf numFmtId="187" fontId="5" fillId="0" borderId="0" xfId="2" applyNumberFormat="1" applyFont="1" applyBorder="1" applyAlignment="1">
      <alignment horizontal="center" vertical="center"/>
    </xf>
    <xf numFmtId="164" fontId="16" fillId="0" borderId="4" xfId="0" applyNumberFormat="1" applyFont="1" applyBorder="1"/>
    <xf numFmtId="0" fontId="6" fillId="0" borderId="19" xfId="0" applyFont="1" applyBorder="1" applyAlignment="1">
      <alignment horizontal="left"/>
    </xf>
    <xf numFmtId="164" fontId="6" fillId="0" borderId="20" xfId="0" applyNumberFormat="1" applyFont="1" applyBorder="1" applyAlignment="1">
      <alignment horizontal="center"/>
    </xf>
    <xf numFmtId="187" fontId="6" fillId="0" borderId="21" xfId="2" applyNumberFormat="1" applyFont="1" applyBorder="1" applyAlignment="1">
      <alignment horizontal="right"/>
    </xf>
    <xf numFmtId="164" fontId="6" fillId="0" borderId="4" xfId="0" applyNumberFormat="1" applyFont="1" applyBorder="1" applyAlignment="1">
      <alignment horizontal="right"/>
    </xf>
    <xf numFmtId="164" fontId="5" fillId="0" borderId="8" xfId="0" applyNumberFormat="1" applyFont="1" applyBorder="1" applyAlignment="1">
      <alignment horizontal="right" vertical="center"/>
    </xf>
    <xf numFmtId="164" fontId="5" fillId="0" borderId="0" xfId="0" applyNumberFormat="1" applyFont="1" applyAlignment="1">
      <alignment horizontal="right" vertical="center"/>
    </xf>
    <xf numFmtId="187" fontId="6" fillId="0" borderId="0" xfId="2" quotePrefix="1" applyNumberFormat="1" applyFont="1" applyAlignment="1">
      <alignment horizontal="right"/>
    </xf>
    <xf numFmtId="164" fontId="16" fillId="0" borderId="4" xfId="0" quotePrefix="1" applyNumberFormat="1" applyFont="1" applyBorder="1" applyAlignment="1">
      <alignment horizontal="right"/>
    </xf>
    <xf numFmtId="164" fontId="5" fillId="0" borderId="8" xfId="0" quotePrefix="1" applyNumberFormat="1" applyFont="1" applyBorder="1" applyAlignment="1">
      <alignment horizontal="right" vertical="center"/>
    </xf>
    <xf numFmtId="187" fontId="5" fillId="0" borderId="7" xfId="2" quotePrefix="1" applyNumberFormat="1" applyFont="1" applyBorder="1" applyAlignment="1">
      <alignment horizontal="right" vertical="center"/>
    </xf>
    <xf numFmtId="168" fontId="12" fillId="0" borderId="4" xfId="0" applyNumberFormat="1" applyFont="1" applyBorder="1" applyAlignment="1">
      <alignment horizontal="center" vertical="center" wrapText="1"/>
    </xf>
    <xf numFmtId="168" fontId="12" fillId="0" borderId="9" xfId="0" applyNumberFormat="1" applyFont="1" applyBorder="1" applyAlignment="1">
      <alignment horizontal="center" vertical="center" wrapText="1"/>
    </xf>
    <xf numFmtId="0" fontId="12" fillId="0" borderId="0" xfId="0" applyFont="1" applyAlignment="1">
      <alignment vertical="center" wrapText="1"/>
    </xf>
    <xf numFmtId="185" fontId="12" fillId="0" borderId="0" xfId="0" applyNumberFormat="1" applyFont="1" applyAlignment="1">
      <alignment horizontal="center"/>
    </xf>
    <xf numFmtId="168" fontId="12" fillId="0" borderId="0" xfId="0" applyNumberFormat="1" applyFont="1" applyAlignment="1">
      <alignment horizontal="center" vertical="center" wrapText="1"/>
    </xf>
    <xf numFmtId="44" fontId="12" fillId="0" borderId="0" xfId="0" applyNumberFormat="1" applyFont="1" applyAlignment="1">
      <alignment horizontal="right" vertical="center" wrapText="1"/>
    </xf>
    <xf numFmtId="44" fontId="12" fillId="0" borderId="0" xfId="0" applyNumberFormat="1" applyFont="1" applyAlignment="1">
      <alignment horizontal="right"/>
    </xf>
    <xf numFmtId="10" fontId="7" fillId="0" borderId="4" xfId="3" applyNumberFormat="1" applyFont="1" applyFill="1" applyBorder="1" applyAlignment="1">
      <alignment horizontal="center" vertical="center"/>
    </xf>
    <xf numFmtId="10" fontId="7" fillId="0" borderId="15" xfId="3" applyNumberFormat="1" applyFont="1" applyFill="1" applyBorder="1" applyAlignment="1">
      <alignment horizontal="center" vertical="center"/>
    </xf>
    <xf numFmtId="10" fontId="7" fillId="5" borderId="15" xfId="3" applyNumberFormat="1" applyFont="1" applyFill="1" applyBorder="1" applyAlignment="1">
      <alignment horizontal="center" vertical="center"/>
    </xf>
    <xf numFmtId="164" fontId="17" fillId="0" borderId="4" xfId="0" applyNumberFormat="1" applyFont="1" applyBorder="1"/>
    <xf numFmtId="187" fontId="5" fillId="0" borderId="0" xfId="2" applyNumberFormat="1" applyFont="1" applyAlignment="1">
      <alignment horizontal="right"/>
    </xf>
    <xf numFmtId="0" fontId="6" fillId="0" borderId="0" xfId="0" applyFont="1" applyAlignment="1">
      <alignment horizontal="left" wrapText="1"/>
    </xf>
    <xf numFmtId="0" fontId="9" fillId="0" borderId="0" xfId="0" applyFont="1" applyAlignment="1">
      <alignment horizontal="center"/>
    </xf>
    <xf numFmtId="0" fontId="6" fillId="0" borderId="16" xfId="0" applyFont="1" applyBorder="1" applyAlignment="1">
      <alignment horizontal="left"/>
    </xf>
    <xf numFmtId="0" fontId="6" fillId="4" borderId="17" xfId="0" applyFont="1" applyFill="1" applyBorder="1" applyAlignment="1">
      <alignment horizontal="center" vertical="center" textRotation="180"/>
    </xf>
    <xf numFmtId="0" fontId="6" fillId="4" borderId="3" xfId="0" applyFont="1" applyFill="1" applyBorder="1" applyAlignment="1">
      <alignment horizontal="center" vertical="center" textRotation="180"/>
    </xf>
    <xf numFmtId="0" fontId="6" fillId="4" borderId="14" xfId="0" applyFont="1" applyFill="1" applyBorder="1" applyAlignment="1">
      <alignment horizontal="center" vertical="center" textRotation="180"/>
    </xf>
  </cellXfs>
  <cellStyles count="6">
    <cellStyle name="Comma" xfId="1" builtinId="3"/>
    <cellStyle name="Hyperlink" xfId="5" builtinId="8"/>
    <cellStyle name="Input" xfId="3" builtinId="20"/>
    <cellStyle name="Normal" xfId="0" builtinId="0"/>
    <cellStyle name="Per cent" xfId="2" builtinId="5"/>
    <cellStyle name="Style 2" xfId="4" xr:uid="{7BC3E88C-0DA4-45B0-B204-43CC3350D0BA}"/>
  </cellStyles>
  <dxfs count="0"/>
  <tableStyles count="0" defaultTableStyle="TableStyleMedium2" defaultPivotStyle="PivotStyleLight16"/>
  <colors>
    <mruColors>
      <color rgb="FFB5E7A2"/>
      <color rgb="FF97E183"/>
      <color rgb="FF86DC6E"/>
      <color rgb="FF6ED6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04B0-FFCB-4A07-B340-8CC16C971625}">
  <dimension ref="B1:H18"/>
  <sheetViews>
    <sheetView showGridLines="0" showRowColHeaders="0" zoomScale="115" zoomScaleNormal="115" workbookViewId="0"/>
  </sheetViews>
  <sheetFormatPr baseColWidth="10" defaultColWidth="9.1640625" defaultRowHeight="14" x14ac:dyDescent="0.15"/>
  <cols>
    <col min="1" max="1" width="6.83203125" style="48" customWidth="1"/>
    <col min="2" max="2" width="118.6640625" style="48" customWidth="1"/>
    <col min="3" max="3" width="8.83203125" style="48" customWidth="1"/>
    <col min="4" max="16384" width="9.1640625" style="48"/>
  </cols>
  <sheetData>
    <row r="1" spans="2:8" x14ac:dyDescent="0.15">
      <c r="B1" s="58" t="s">
        <v>89</v>
      </c>
    </row>
    <row r="3" spans="2:8" ht="23" x14ac:dyDescent="0.25">
      <c r="B3" s="49" t="s">
        <v>50</v>
      </c>
    </row>
    <row r="5" spans="2:8" x14ac:dyDescent="0.15">
      <c r="B5" s="103" t="s">
        <v>51</v>
      </c>
      <c r="C5" s="103"/>
      <c r="D5" s="103"/>
      <c r="E5" s="103"/>
      <c r="F5" s="103"/>
      <c r="G5" s="103"/>
      <c r="H5" s="103"/>
    </row>
    <row r="6" spans="2:8" s="50" customFormat="1" ht="184.5" customHeight="1" x14ac:dyDescent="0.2">
      <c r="B6" s="52" t="s">
        <v>59</v>
      </c>
      <c r="C6" s="52"/>
      <c r="D6" s="52"/>
      <c r="E6" s="52"/>
      <c r="F6" s="52"/>
      <c r="G6" s="52"/>
      <c r="H6" s="52"/>
    </row>
    <row r="7" spans="2:8" x14ac:dyDescent="0.15">
      <c r="B7" s="53"/>
      <c r="C7" s="53"/>
      <c r="D7" s="56"/>
      <c r="E7" s="53"/>
      <c r="F7" s="53"/>
      <c r="G7" s="53"/>
      <c r="H7" s="53"/>
    </row>
    <row r="8" spans="2:8" x14ac:dyDescent="0.15">
      <c r="B8" s="57" t="s">
        <v>52</v>
      </c>
      <c r="C8" s="53"/>
      <c r="D8" s="56"/>
      <c r="E8" s="53"/>
      <c r="F8" s="53"/>
      <c r="G8" s="53"/>
      <c r="H8" s="53"/>
    </row>
    <row r="9" spans="2:8" ht="28" x14ac:dyDescent="0.15">
      <c r="B9" s="54" t="s">
        <v>53</v>
      </c>
      <c r="C9" s="53"/>
      <c r="D9" s="53"/>
      <c r="E9" s="53"/>
      <c r="F9" s="53"/>
      <c r="G9" s="53"/>
      <c r="H9" s="53"/>
    </row>
    <row r="10" spans="2:8" x14ac:dyDescent="0.15">
      <c r="B10" s="54" t="s">
        <v>54</v>
      </c>
      <c r="C10" s="53"/>
      <c r="D10" s="53"/>
      <c r="E10" s="53"/>
      <c r="F10" s="53"/>
      <c r="G10" s="53"/>
      <c r="H10" s="53"/>
    </row>
    <row r="11" spans="2:8" ht="28" x14ac:dyDescent="0.15">
      <c r="B11" s="54" t="s">
        <v>90</v>
      </c>
      <c r="C11" s="53"/>
      <c r="D11" s="53"/>
      <c r="E11" s="53"/>
      <c r="F11" s="53"/>
      <c r="G11" s="53"/>
      <c r="H11" s="53"/>
    </row>
    <row r="12" spans="2:8" x14ac:dyDescent="0.15">
      <c r="B12" s="54" t="s">
        <v>55</v>
      </c>
      <c r="C12" s="53"/>
      <c r="D12" s="53"/>
      <c r="E12" s="53"/>
      <c r="F12" s="53"/>
      <c r="G12" s="53"/>
      <c r="H12" s="53"/>
    </row>
    <row r="13" spans="2:8" ht="28" x14ac:dyDescent="0.15">
      <c r="B13" s="55" t="s">
        <v>57</v>
      </c>
      <c r="C13" s="51"/>
      <c r="D13" s="51"/>
      <c r="E13" s="51"/>
      <c r="F13" s="51"/>
      <c r="G13" s="51"/>
      <c r="H13" s="51"/>
    </row>
    <row r="14" spans="2:8" x14ac:dyDescent="0.15">
      <c r="B14" s="55" t="s">
        <v>63</v>
      </c>
      <c r="C14" s="53"/>
      <c r="D14" s="53"/>
      <c r="E14" s="53"/>
      <c r="F14" s="53"/>
      <c r="G14" s="53"/>
      <c r="H14" s="53"/>
    </row>
    <row r="15" spans="2:8" x14ac:dyDescent="0.15">
      <c r="B15" s="53"/>
      <c r="C15" s="59"/>
      <c r="D15" s="53"/>
      <c r="E15" s="53"/>
      <c r="F15" s="53"/>
      <c r="G15" s="53"/>
      <c r="H15" s="53"/>
    </row>
    <row r="16" spans="2:8" x14ac:dyDescent="0.15">
      <c r="B16" s="57" t="s">
        <v>58</v>
      </c>
      <c r="C16" s="53"/>
      <c r="D16" s="53"/>
      <c r="E16" s="53"/>
      <c r="F16" s="53"/>
      <c r="G16" s="53"/>
      <c r="H16" s="53"/>
    </row>
    <row r="17" spans="2:8" ht="42" x14ac:dyDescent="0.15">
      <c r="B17" s="53" t="s">
        <v>56</v>
      </c>
      <c r="C17" s="53"/>
      <c r="D17" s="53"/>
      <c r="E17" s="53"/>
      <c r="F17" s="53"/>
      <c r="G17" s="53"/>
      <c r="H17" s="53"/>
    </row>
    <row r="18" spans="2:8" x14ac:dyDescent="0.15">
      <c r="B18" s="2"/>
    </row>
  </sheetData>
  <mergeCells count="1">
    <mergeCell ref="B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9302-6FB0-4C44-A03B-3E7050B5DFF4}">
  <dimension ref="B2:F28"/>
  <sheetViews>
    <sheetView showGridLines="0" showRowColHeaders="0" zoomScale="115" zoomScaleNormal="115" workbookViewId="0"/>
  </sheetViews>
  <sheetFormatPr baseColWidth="10" defaultColWidth="8.6640625" defaultRowHeight="13" x14ac:dyDescent="0.15"/>
  <cols>
    <col min="1" max="1" width="8.6640625" style="2"/>
    <col min="2" max="2" width="45.5" style="2" bestFit="1" customWidth="1"/>
    <col min="3" max="3" width="13.6640625" style="2" bestFit="1" customWidth="1"/>
    <col min="4" max="4" width="8.5" style="2" bestFit="1" customWidth="1"/>
    <col min="5" max="5" width="9" style="2" customWidth="1"/>
    <col min="6" max="6" width="12.83203125" style="2" bestFit="1" customWidth="1"/>
    <col min="7" max="7" width="8.6640625" style="2"/>
    <col min="8" max="8" width="12.83203125" style="2" bestFit="1" customWidth="1"/>
    <col min="9" max="9" width="8.6640625" style="2"/>
    <col min="10" max="10" width="56.1640625" style="2" bestFit="1" customWidth="1"/>
    <col min="11" max="11" width="12.83203125" style="2" bestFit="1" customWidth="1"/>
    <col min="12" max="12" width="8.6640625" style="2"/>
    <col min="13" max="13" width="12.83203125" style="2" bestFit="1" customWidth="1"/>
    <col min="14" max="16384" width="8.6640625" style="2"/>
  </cols>
  <sheetData>
    <row r="2" spans="2:6" ht="18" x14ac:dyDescent="0.2">
      <c r="B2" s="104" t="s">
        <v>44</v>
      </c>
      <c r="C2" s="104"/>
      <c r="D2" s="104"/>
    </row>
    <row r="3" spans="2:6" x14ac:dyDescent="0.15">
      <c r="B3" s="5"/>
      <c r="C3" s="5"/>
    </row>
    <row r="4" spans="2:6" ht="14" thickBot="1" x14ac:dyDescent="0.2">
      <c r="B4" s="105" t="s">
        <v>2</v>
      </c>
      <c r="C4" s="105"/>
      <c r="D4" s="105"/>
    </row>
    <row r="5" spans="2:6" ht="15" x14ac:dyDescent="0.2">
      <c r="B5" s="2" t="s">
        <v>69</v>
      </c>
      <c r="C5" s="61" t="s">
        <v>8</v>
      </c>
      <c r="D5" s="106" t="s">
        <v>41</v>
      </c>
      <c r="F5"/>
    </row>
    <row r="6" spans="2:6" ht="15" x14ac:dyDescent="0.2">
      <c r="B6" s="3" t="s">
        <v>70</v>
      </c>
      <c r="C6" s="67">
        <v>10000</v>
      </c>
      <c r="D6" s="107"/>
      <c r="F6"/>
    </row>
    <row r="7" spans="2:6" ht="15" x14ac:dyDescent="0.2">
      <c r="B7" s="3" t="s">
        <v>71</v>
      </c>
      <c r="C7" s="62">
        <v>2</v>
      </c>
      <c r="D7" s="107"/>
      <c r="F7"/>
    </row>
    <row r="8" spans="2:6" ht="15" x14ac:dyDescent="0.2">
      <c r="B8" s="3" t="s">
        <v>72</v>
      </c>
      <c r="C8" s="63">
        <v>7.0000000000000007E-2</v>
      </c>
      <c r="D8" s="107"/>
      <c r="F8"/>
    </row>
    <row r="9" spans="2:6" ht="15" x14ac:dyDescent="0.2">
      <c r="B9" s="2" t="s">
        <v>74</v>
      </c>
      <c r="C9" s="98"/>
      <c r="D9" s="107"/>
      <c r="F9"/>
    </row>
    <row r="10" spans="2:6" ht="14" thickBot="1" x14ac:dyDescent="0.2">
      <c r="B10" s="15" t="s">
        <v>73</v>
      </c>
      <c r="C10" s="99"/>
      <c r="D10" s="108"/>
    </row>
    <row r="12" spans="2:6" ht="14" thickBot="1" x14ac:dyDescent="0.2">
      <c r="B12" s="72" t="s">
        <v>39</v>
      </c>
      <c r="C12" s="73" t="s">
        <v>42</v>
      </c>
      <c r="D12" s="73" t="s">
        <v>43</v>
      </c>
    </row>
    <row r="13" spans="2:6" x14ac:dyDescent="0.15">
      <c r="B13" s="4" t="s">
        <v>1</v>
      </c>
      <c r="C13" s="74">
        <f>SUM(C14:C15)</f>
        <v>20</v>
      </c>
      <c r="D13" s="76">
        <f>C13/$C$6</f>
        <v>2E-3</v>
      </c>
    </row>
    <row r="14" spans="2:6" x14ac:dyDescent="0.15">
      <c r="B14" s="8" t="s">
        <v>61</v>
      </c>
      <c r="C14" s="11">
        <f>IF(C5 = "USA", 0, MAX('Commision &amp; FX'!C36 *Stock!C6 + 'Commision &amp; FX'!C36* (Stock!C6 + Stock!C26), 2 * IFERROR(_xlfn.XLOOKUP(C5, 'Commision &amp; FX'!B3:B31, 'Commision &amp; FX'!F3:F31, 0), 0)))</f>
        <v>20</v>
      </c>
      <c r="D14" s="68">
        <f>+C14/$C$6</f>
        <v>2E-3</v>
      </c>
    </row>
    <row r="15" spans="2:6" x14ac:dyDescent="0.15">
      <c r="B15" s="12" t="s">
        <v>62</v>
      </c>
      <c r="C15" s="13">
        <f>IF(C5="Denmark",0,(IFERROR((('Commision &amp; FX'!C35)*C6)+(C26+C6)*'Commision &amp; FX'!C35,"-")))</f>
        <v>0</v>
      </c>
      <c r="D15" s="69">
        <f>+C15/$C$6</f>
        <v>0</v>
      </c>
    </row>
    <row r="16" spans="2:6" x14ac:dyDescent="0.15">
      <c r="B16" s="8"/>
      <c r="C16" s="11"/>
      <c r="D16" s="77"/>
    </row>
    <row r="17" spans="2:4" x14ac:dyDescent="0.15">
      <c r="B17" s="4" t="s">
        <v>48</v>
      </c>
      <c r="C17" s="84" t="s">
        <v>66</v>
      </c>
      <c r="D17" s="76" t="s">
        <v>66</v>
      </c>
    </row>
    <row r="18" spans="2:4" x14ac:dyDescent="0.15">
      <c r="B18" s="12" t="s">
        <v>60</v>
      </c>
      <c r="C18" s="85"/>
      <c r="D18" s="69"/>
    </row>
    <row r="19" spans="2:4" x14ac:dyDescent="0.15">
      <c r="B19" s="8"/>
      <c r="C19" s="86"/>
      <c r="D19" s="77"/>
    </row>
    <row r="20" spans="2:4" x14ac:dyDescent="0.15">
      <c r="B20" s="9" t="s">
        <v>49</v>
      </c>
      <c r="C20" s="84" t="s">
        <v>66</v>
      </c>
      <c r="D20" s="76" t="s">
        <v>66</v>
      </c>
    </row>
    <row r="21" spans="2:4" x14ac:dyDescent="0.15">
      <c r="B21" s="12" t="s">
        <v>36</v>
      </c>
      <c r="C21" s="16"/>
      <c r="D21" s="69"/>
    </row>
    <row r="22" spans="2:4" ht="14" thickBot="1" x14ac:dyDescent="0.2">
      <c r="B22" s="8"/>
      <c r="C22" s="78"/>
      <c r="D22" s="79"/>
    </row>
    <row r="23" spans="2:4" ht="14" thickBot="1" x14ac:dyDescent="0.2">
      <c r="B23" s="81" t="s">
        <v>75</v>
      </c>
      <c r="C23" s="82">
        <f>+C15+C14</f>
        <v>20</v>
      </c>
      <c r="D23" s="83">
        <f>+C23/$C$6</f>
        <v>2E-3</v>
      </c>
    </row>
    <row r="25" spans="2:4" ht="14" thickBot="1" x14ac:dyDescent="0.2">
      <c r="B25" s="105" t="s">
        <v>0</v>
      </c>
      <c r="C25" s="105"/>
      <c r="D25" s="105"/>
    </row>
    <row r="26" spans="2:4" x14ac:dyDescent="0.15">
      <c r="B26" s="9" t="s">
        <v>64</v>
      </c>
      <c r="C26" s="7">
        <f>IFERROR((C6*(1+C8)^C7)-C6,"-")</f>
        <v>1449</v>
      </c>
      <c r="D26" s="70">
        <f t="shared" ref="D26:D27" si="0">+C26/$C$6</f>
        <v>0.1449</v>
      </c>
    </row>
    <row r="27" spans="2:4" ht="14" thickBot="1" x14ac:dyDescent="0.2">
      <c r="B27" s="10" t="s">
        <v>65</v>
      </c>
      <c r="C27" s="14">
        <f>+IFERROR(C26-C23,"-")</f>
        <v>1429</v>
      </c>
      <c r="D27" s="71">
        <f t="shared" si="0"/>
        <v>0.1429</v>
      </c>
    </row>
    <row r="28" spans="2:4" ht="14" thickTop="1" x14ac:dyDescent="0.15"/>
  </sheetData>
  <mergeCells count="4">
    <mergeCell ref="B2:D2"/>
    <mergeCell ref="B4:D4"/>
    <mergeCell ref="D5:D10"/>
    <mergeCell ref="B25:D2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3BD460-037A-4437-A3AC-85BBCFE5D4C6}">
          <x14:formula1>
            <xm:f>'Commision &amp; FX'!$B$3:$B$31</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6D2F-090C-4314-BE76-1F0C8F61CF9D}">
  <dimension ref="B2:F28"/>
  <sheetViews>
    <sheetView showGridLines="0" showRowColHeaders="0" zoomScale="115" zoomScaleNormal="115" workbookViewId="0"/>
  </sheetViews>
  <sheetFormatPr baseColWidth="10" defaultColWidth="8.6640625" defaultRowHeight="13" x14ac:dyDescent="0.15"/>
  <cols>
    <col min="1" max="1" width="8.6640625" style="2"/>
    <col min="2" max="2" width="45.83203125" style="2" bestFit="1" customWidth="1"/>
    <col min="3" max="3" width="13.6640625" style="2" bestFit="1" customWidth="1"/>
    <col min="4" max="4" width="8.5" style="2" bestFit="1" customWidth="1"/>
    <col min="5" max="5" width="9" style="2" customWidth="1"/>
    <col min="6" max="6" width="12.83203125" style="2" bestFit="1" customWidth="1"/>
    <col min="7" max="7" width="8.6640625" style="2"/>
    <col min="8" max="8" width="12.83203125" style="2" bestFit="1" customWidth="1"/>
    <col min="9" max="9" width="8.6640625" style="2"/>
    <col min="10" max="10" width="56.1640625" style="2" bestFit="1" customWidth="1"/>
    <col min="11" max="11" width="12.83203125" style="2" bestFit="1" customWidth="1"/>
    <col min="12" max="12" width="8.6640625" style="2"/>
    <col min="13" max="13" width="12.83203125" style="2" bestFit="1" customWidth="1"/>
    <col min="14" max="16384" width="8.6640625" style="2"/>
  </cols>
  <sheetData>
    <row r="2" spans="2:6" ht="18" x14ac:dyDescent="0.2">
      <c r="B2" s="104" t="s">
        <v>45</v>
      </c>
      <c r="C2" s="104"/>
      <c r="D2" s="104"/>
    </row>
    <row r="3" spans="2:6" x14ac:dyDescent="0.15">
      <c r="B3" s="5"/>
      <c r="C3" s="5"/>
    </row>
    <row r="4" spans="2:6" ht="14" thickBot="1" x14ac:dyDescent="0.2">
      <c r="B4" s="105" t="s">
        <v>2</v>
      </c>
      <c r="C4" s="105"/>
      <c r="D4" s="105"/>
    </row>
    <row r="5" spans="2:6" ht="15" x14ac:dyDescent="0.2">
      <c r="B5" s="2" t="s">
        <v>69</v>
      </c>
      <c r="C5" s="61" t="s">
        <v>8</v>
      </c>
      <c r="D5" s="106" t="s">
        <v>41</v>
      </c>
      <c r="F5"/>
    </row>
    <row r="6" spans="2:6" ht="15" x14ac:dyDescent="0.2">
      <c r="B6" s="3" t="s">
        <v>70</v>
      </c>
      <c r="C6" s="67">
        <v>10000</v>
      </c>
      <c r="D6" s="107"/>
      <c r="F6"/>
    </row>
    <row r="7" spans="2:6" ht="15" x14ac:dyDescent="0.2">
      <c r="B7" s="3" t="s">
        <v>71</v>
      </c>
      <c r="C7" s="62">
        <v>2</v>
      </c>
      <c r="D7" s="107"/>
      <c r="F7"/>
    </row>
    <row r="8" spans="2:6" ht="15" x14ac:dyDescent="0.2">
      <c r="B8" s="3" t="s">
        <v>72</v>
      </c>
      <c r="C8" s="63">
        <v>7.0000000000000007E-2</v>
      </c>
      <c r="D8" s="107"/>
      <c r="F8"/>
    </row>
    <row r="9" spans="2:6" ht="15" x14ac:dyDescent="0.2">
      <c r="B9" s="2" t="s">
        <v>74</v>
      </c>
      <c r="C9" s="64">
        <v>6.9999999999999999E-4</v>
      </c>
      <c r="D9" s="107"/>
      <c r="F9"/>
    </row>
    <row r="10" spans="2:6" ht="14" thickBot="1" x14ac:dyDescent="0.2">
      <c r="B10" s="15" t="s">
        <v>73</v>
      </c>
      <c r="C10" s="99"/>
      <c r="D10" s="108"/>
    </row>
    <row r="12" spans="2:6" ht="14" thickBot="1" x14ac:dyDescent="0.2">
      <c r="B12" s="72" t="s">
        <v>39</v>
      </c>
      <c r="C12" s="73" t="s">
        <v>42</v>
      </c>
      <c r="D12" s="73" t="s">
        <v>43</v>
      </c>
    </row>
    <row r="13" spans="2:6" x14ac:dyDescent="0.15">
      <c r="B13" s="4" t="s">
        <v>1</v>
      </c>
      <c r="C13" s="74">
        <f>SUM(C14:C15)</f>
        <v>20</v>
      </c>
      <c r="D13" s="76">
        <f>C13/$C$6</f>
        <v>2E-3</v>
      </c>
    </row>
    <row r="14" spans="2:6" x14ac:dyDescent="0.15">
      <c r="B14" s="8" t="s">
        <v>61</v>
      </c>
      <c r="C14" s="11">
        <f>IF(C5 = "USA", 0, MAX('Commision &amp; FX'!C36 *ETF!C6 + 'Commision &amp; FX'!C36* (ETF!C6 + ETF!C26), 2 * IFERROR(_xlfn.XLOOKUP(C5, 'Commision &amp; FX'!B3:B31, 'Commision &amp; FX'!F3:F31, 0), 0)))</f>
        <v>20</v>
      </c>
      <c r="D14" s="68">
        <f>+C14/$C$6</f>
        <v>2E-3</v>
      </c>
    </row>
    <row r="15" spans="2:6" x14ac:dyDescent="0.15">
      <c r="B15" s="12" t="s">
        <v>62</v>
      </c>
      <c r="C15" s="13">
        <f>IF(C5="Denmark",0,IFERROR((('Commision &amp; FX'!C35)*C6)+(C26+C6)*'Commision &amp; FX'!C35,"-"))</f>
        <v>0</v>
      </c>
      <c r="D15" s="69">
        <f>+C15/$C$6</f>
        <v>0</v>
      </c>
    </row>
    <row r="16" spans="2:6" x14ac:dyDescent="0.15">
      <c r="B16" s="8"/>
      <c r="C16" s="11"/>
      <c r="D16" s="77"/>
    </row>
    <row r="17" spans="2:6" x14ac:dyDescent="0.15">
      <c r="B17" s="4" t="s">
        <v>48</v>
      </c>
      <c r="C17" s="80">
        <f>SUM(C18)</f>
        <v>14</v>
      </c>
      <c r="D17" s="76">
        <f>C17/$C$6</f>
        <v>1.4E-3</v>
      </c>
      <c r="F17" s="9"/>
    </row>
    <row r="18" spans="2:6" x14ac:dyDescent="0.15">
      <c r="B18" s="12" t="s">
        <v>60</v>
      </c>
      <c r="C18" s="13">
        <f>+IFERROR(C6*C9*C7,"-")</f>
        <v>14</v>
      </c>
      <c r="D18" s="69">
        <f>+C18/$C$6</f>
        <v>1.4E-3</v>
      </c>
    </row>
    <row r="19" spans="2:6" x14ac:dyDescent="0.15">
      <c r="B19" s="8"/>
      <c r="C19" s="11"/>
      <c r="D19" s="77"/>
    </row>
    <row r="20" spans="2:6" x14ac:dyDescent="0.15">
      <c r="B20" s="9" t="s">
        <v>49</v>
      </c>
      <c r="C20" s="88" t="s">
        <v>66</v>
      </c>
      <c r="D20" s="87" t="s">
        <v>66</v>
      </c>
    </row>
    <row r="21" spans="2:6" x14ac:dyDescent="0.15">
      <c r="B21" s="12" t="s">
        <v>36</v>
      </c>
      <c r="C21" s="89" t="s">
        <v>66</v>
      </c>
      <c r="D21" s="90" t="s">
        <v>66</v>
      </c>
    </row>
    <row r="22" spans="2:6" ht="14" thickBot="1" x14ac:dyDescent="0.2">
      <c r="B22" s="8"/>
      <c r="C22" s="78"/>
      <c r="D22" s="79"/>
    </row>
    <row r="23" spans="2:6" ht="14" thickBot="1" x14ac:dyDescent="0.2">
      <c r="B23" s="81" t="s">
        <v>75</v>
      </c>
      <c r="C23" s="82">
        <f>+C18+C15+C14</f>
        <v>34</v>
      </c>
      <c r="D23" s="83">
        <f>+C23/$C$6</f>
        <v>3.3999999999999998E-3</v>
      </c>
    </row>
    <row r="25" spans="2:6" ht="14" thickBot="1" x14ac:dyDescent="0.2">
      <c r="B25" s="105" t="s">
        <v>0</v>
      </c>
      <c r="C25" s="105"/>
      <c r="D25" s="105"/>
    </row>
    <row r="26" spans="2:6" x14ac:dyDescent="0.15">
      <c r="B26" s="9" t="s">
        <v>37</v>
      </c>
      <c r="C26" s="7">
        <f>IFERROR((C6*(1+C8)^C7)-C6,"-")</f>
        <v>1449</v>
      </c>
      <c r="D26" s="70">
        <f t="shared" ref="D26:D27" si="0">+C26/$C$6</f>
        <v>0.1449</v>
      </c>
    </row>
    <row r="27" spans="2:6" ht="14" thickBot="1" x14ac:dyDescent="0.2">
      <c r="B27" s="10" t="s">
        <v>38</v>
      </c>
      <c r="C27" s="14">
        <f>+IFERROR(C26-C23,"-")</f>
        <v>1415</v>
      </c>
      <c r="D27" s="71">
        <f t="shared" si="0"/>
        <v>0.14149999999999999</v>
      </c>
    </row>
    <row r="28" spans="2:6" ht="14" thickTop="1" x14ac:dyDescent="0.15"/>
  </sheetData>
  <mergeCells count="4">
    <mergeCell ref="B2:D2"/>
    <mergeCell ref="B4:D4"/>
    <mergeCell ref="D5:D10"/>
    <mergeCell ref="B25:D25"/>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290B48D-2C5F-4B20-AD64-3B4BD50E705A}">
          <x14:formula1>
            <xm:f>'Commision &amp; FX'!$B$3:$B$31</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8263-0215-4F2E-A472-4190EAB37A87}">
  <dimension ref="B2:F32"/>
  <sheetViews>
    <sheetView showGridLines="0" showRowColHeaders="0" zoomScale="115" zoomScaleNormal="115" workbookViewId="0"/>
  </sheetViews>
  <sheetFormatPr baseColWidth="10" defaultColWidth="8.6640625" defaultRowHeight="13" x14ac:dyDescent="0.15"/>
  <cols>
    <col min="1" max="1" width="8.6640625" style="2"/>
    <col min="2" max="2" width="45.5" style="2" bestFit="1" customWidth="1"/>
    <col min="3" max="3" width="13.6640625" style="2" bestFit="1" customWidth="1"/>
    <col min="4" max="4" width="8.5" style="2" bestFit="1" customWidth="1"/>
    <col min="5" max="5" width="4.83203125" style="2" bestFit="1" customWidth="1"/>
    <col min="6" max="6" width="14.1640625" style="2" bestFit="1" customWidth="1"/>
    <col min="7" max="7" width="12" style="2" bestFit="1" customWidth="1"/>
    <col min="8" max="8" width="12.83203125" style="2" bestFit="1" customWidth="1"/>
    <col min="9" max="9" width="8.6640625" style="2"/>
    <col min="10" max="10" width="56.1640625" style="2" bestFit="1" customWidth="1"/>
    <col min="11" max="11" width="12.83203125" style="2" bestFit="1" customWidth="1"/>
    <col min="12" max="12" width="8.6640625" style="2"/>
    <col min="13" max="13" width="12.83203125" style="2" bestFit="1" customWidth="1"/>
    <col min="14" max="16384" width="8.6640625" style="2"/>
  </cols>
  <sheetData>
    <row r="2" spans="2:6" ht="18" x14ac:dyDescent="0.2">
      <c r="B2" s="104" t="s">
        <v>40</v>
      </c>
      <c r="C2" s="104"/>
      <c r="D2" s="104"/>
    </row>
    <row r="3" spans="2:6" x14ac:dyDescent="0.15">
      <c r="B3" s="5"/>
      <c r="C3" s="5"/>
    </row>
    <row r="4" spans="2:6" ht="14" thickBot="1" x14ac:dyDescent="0.2">
      <c r="B4" s="105" t="s">
        <v>2</v>
      </c>
      <c r="C4" s="105"/>
      <c r="D4" s="105"/>
    </row>
    <row r="5" spans="2:6" ht="15" x14ac:dyDescent="0.2">
      <c r="B5" s="2" t="s">
        <v>69</v>
      </c>
      <c r="C5" s="61" t="s">
        <v>8</v>
      </c>
      <c r="D5" s="106" t="s">
        <v>41</v>
      </c>
      <c r="F5"/>
    </row>
    <row r="6" spans="2:6" ht="15" x14ac:dyDescent="0.2">
      <c r="B6" s="3" t="s">
        <v>70</v>
      </c>
      <c r="C6" s="67">
        <v>10000</v>
      </c>
      <c r="D6" s="107"/>
      <c r="F6"/>
    </row>
    <row r="7" spans="2:6" ht="15" x14ac:dyDescent="0.2">
      <c r="B7" s="3" t="s">
        <v>71</v>
      </c>
      <c r="C7" s="62">
        <v>2</v>
      </c>
      <c r="D7" s="107"/>
      <c r="F7"/>
    </row>
    <row r="8" spans="2:6" ht="15" x14ac:dyDescent="0.2">
      <c r="B8" s="3" t="s">
        <v>72</v>
      </c>
      <c r="C8" s="63">
        <v>7.0000000000000007E-2</v>
      </c>
      <c r="D8" s="107"/>
      <c r="F8"/>
    </row>
    <row r="9" spans="2:6" ht="15" x14ac:dyDescent="0.2">
      <c r="B9" s="2" t="s">
        <v>74</v>
      </c>
      <c r="C9" s="64">
        <v>6.9999999999999999E-4</v>
      </c>
      <c r="D9" s="107"/>
      <c r="F9"/>
    </row>
    <row r="10" spans="2:6" ht="14" thickBot="1" x14ac:dyDescent="0.2">
      <c r="B10" s="15" t="s">
        <v>73</v>
      </c>
      <c r="C10" s="65">
        <v>1E-4</v>
      </c>
      <c r="D10" s="108"/>
    </row>
    <row r="12" spans="2:6" ht="14" thickBot="1" x14ac:dyDescent="0.2">
      <c r="B12" s="72" t="s">
        <v>39</v>
      </c>
      <c r="C12" s="73" t="s">
        <v>42</v>
      </c>
      <c r="D12" s="73" t="s">
        <v>43</v>
      </c>
    </row>
    <row r="13" spans="2:6" x14ac:dyDescent="0.15">
      <c r="B13" s="4" t="s">
        <v>1</v>
      </c>
      <c r="C13" s="75">
        <f>SUM(C14:C15)</f>
        <v>20</v>
      </c>
      <c r="D13" s="76">
        <f>C13/$C$6</f>
        <v>2E-3</v>
      </c>
      <c r="F13" s="19"/>
    </row>
    <row r="14" spans="2:6" x14ac:dyDescent="0.15">
      <c r="B14" s="8" t="s">
        <v>61</v>
      </c>
      <c r="C14" s="11">
        <f>IF(C5 = "USA", 0, MAX('Commision &amp; FX'!C36 *'Mutual Funds'!C6 + 'Commision &amp; FX'!C36* ('Mutual Funds'!C6 + 'Mutual Funds'!C26), 2 * IFERROR(_xlfn.XLOOKUP(C5, 'Commision &amp; FX'!B3:B31, 'Commision &amp; FX'!F3:F31, 0), 0)))</f>
        <v>20</v>
      </c>
      <c r="D14" s="68">
        <f>+C14/$C$6</f>
        <v>2E-3</v>
      </c>
      <c r="F14" s="19"/>
    </row>
    <row r="15" spans="2:6" x14ac:dyDescent="0.15">
      <c r="B15" s="12" t="s">
        <v>62</v>
      </c>
      <c r="C15" s="13">
        <f>IF(C5="Denmark",0,IFERROR((('Commision &amp; FX'!C35)*C6)+(C26+C6)*'Commision &amp; FX'!C35,"-"))</f>
        <v>0</v>
      </c>
      <c r="D15" s="69">
        <f>+C15/$C$6</f>
        <v>0</v>
      </c>
      <c r="F15" s="19"/>
    </row>
    <row r="16" spans="2:6" x14ac:dyDescent="0.15">
      <c r="B16" s="8"/>
      <c r="C16" s="11"/>
      <c r="D16" s="77"/>
      <c r="F16" s="19"/>
    </row>
    <row r="17" spans="2:6" x14ac:dyDescent="0.15">
      <c r="B17" s="4" t="s">
        <v>48</v>
      </c>
      <c r="C17" s="80">
        <f>SUM(C18)</f>
        <v>14</v>
      </c>
      <c r="D17" s="76">
        <f>C17/$C$6</f>
        <v>1.4E-3</v>
      </c>
      <c r="F17" s="19"/>
    </row>
    <row r="18" spans="2:6" x14ac:dyDescent="0.15">
      <c r="B18" s="12" t="s">
        <v>60</v>
      </c>
      <c r="C18" s="13">
        <f>+IFERROR(C6*C9*C7,"-")</f>
        <v>14</v>
      </c>
      <c r="D18" s="69">
        <f>+C18/$C$6</f>
        <v>1.4E-3</v>
      </c>
      <c r="E18" s="20"/>
      <c r="F18" s="19"/>
    </row>
    <row r="19" spans="2:6" x14ac:dyDescent="0.15">
      <c r="B19" s="8"/>
      <c r="C19" s="11"/>
      <c r="D19" s="77"/>
      <c r="E19" s="20"/>
      <c r="F19" s="19"/>
    </row>
    <row r="20" spans="2:6" x14ac:dyDescent="0.15">
      <c r="B20" s="9" t="s">
        <v>49</v>
      </c>
      <c r="C20" s="80">
        <f>SUM(C21)</f>
        <v>2</v>
      </c>
      <c r="D20" s="76">
        <f>C20/$C$6</f>
        <v>2.0000000000000001E-4</v>
      </c>
    </row>
    <row r="21" spans="2:6" x14ac:dyDescent="0.15">
      <c r="B21" s="12" t="s">
        <v>36</v>
      </c>
      <c r="C21" s="13">
        <f>+IFERROR(((C6*C10)*C7),"-")</f>
        <v>2</v>
      </c>
      <c r="D21" s="69">
        <f>+C21/$C$6</f>
        <v>2.0000000000000001E-4</v>
      </c>
    </row>
    <row r="22" spans="2:6" ht="14" thickBot="1" x14ac:dyDescent="0.2">
      <c r="B22" s="8"/>
      <c r="C22" s="11"/>
      <c r="D22" s="77"/>
    </row>
    <row r="23" spans="2:6" ht="14" thickBot="1" x14ac:dyDescent="0.2">
      <c r="B23" s="81" t="s">
        <v>75</v>
      </c>
      <c r="C23" s="82">
        <f>+C21+C18+C15+C14</f>
        <v>36</v>
      </c>
      <c r="D23" s="83">
        <f>+C23/$C$6</f>
        <v>3.5999999999999999E-3</v>
      </c>
    </row>
    <row r="25" spans="2:6" ht="14" thickBot="1" x14ac:dyDescent="0.2">
      <c r="B25" s="105" t="s">
        <v>0</v>
      </c>
      <c r="C25" s="105"/>
      <c r="D25" s="105"/>
    </row>
    <row r="26" spans="2:6" x14ac:dyDescent="0.15">
      <c r="B26" s="9" t="s">
        <v>37</v>
      </c>
      <c r="C26" s="7">
        <f>IFERROR((C6*(1+C8)^C7)-C6,"-")</f>
        <v>1449</v>
      </c>
      <c r="D26" s="70">
        <f t="shared" ref="D26:D27" si="0">+C26/$C$6</f>
        <v>0.1449</v>
      </c>
    </row>
    <row r="27" spans="2:6" ht="14" thickBot="1" x14ac:dyDescent="0.2">
      <c r="B27" s="10" t="s">
        <v>38</v>
      </c>
      <c r="C27" s="14">
        <f>+IFERROR(C26-C23,"-")</f>
        <v>1413</v>
      </c>
      <c r="D27" s="71">
        <f t="shared" si="0"/>
        <v>0.14130000000000001</v>
      </c>
    </row>
    <row r="28" spans="2:6" ht="14" thickTop="1" x14ac:dyDescent="0.15"/>
    <row r="30" spans="2:6" ht="15" x14ac:dyDescent="0.2">
      <c r="B30"/>
      <c r="C30"/>
    </row>
    <row r="31" spans="2:6" ht="15" x14ac:dyDescent="0.2">
      <c r="B31"/>
      <c r="C31"/>
    </row>
    <row r="32" spans="2:6" x14ac:dyDescent="0.15">
      <c r="B32" s="18"/>
    </row>
  </sheetData>
  <mergeCells count="4">
    <mergeCell ref="D5:D10"/>
    <mergeCell ref="B2:D2"/>
    <mergeCell ref="B4:D4"/>
    <mergeCell ref="B25:D2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E6A250-0F3C-44F3-8044-A915F98906C3}">
          <x14:formula1>
            <xm:f>'Commision &amp; FX'!$B$3:$B$31</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ED83-8E98-C24D-A860-B0620CAA500E}">
  <dimension ref="B2:F40"/>
  <sheetViews>
    <sheetView showGridLines="0" zoomScale="125" zoomScaleNormal="115" workbookViewId="0"/>
  </sheetViews>
  <sheetFormatPr baseColWidth="10" defaultColWidth="8.6640625" defaultRowHeight="13" x14ac:dyDescent="0.15"/>
  <cols>
    <col min="1" max="1" width="8.6640625" style="2"/>
    <col min="2" max="2" width="45.5" style="2" bestFit="1" customWidth="1"/>
    <col min="3" max="3" width="13.6640625" style="2" bestFit="1" customWidth="1"/>
    <col min="4" max="4" width="8.5" style="2" bestFit="1" customWidth="1"/>
    <col min="5" max="5" width="4.83203125" style="2" bestFit="1" customWidth="1"/>
    <col min="6" max="6" width="14.1640625" style="2" bestFit="1" customWidth="1"/>
    <col min="7" max="7" width="12" style="2" bestFit="1" customWidth="1"/>
    <col min="8" max="8" width="12.83203125" style="2" bestFit="1" customWidth="1"/>
    <col min="9" max="9" width="8.6640625" style="2"/>
    <col min="10" max="10" width="56.1640625" style="2" bestFit="1" customWidth="1"/>
    <col min="11" max="11" width="12.83203125" style="2" bestFit="1" customWidth="1"/>
    <col min="12" max="12" width="8.6640625" style="2"/>
    <col min="13" max="13" width="12.83203125" style="2" bestFit="1" customWidth="1"/>
    <col min="14" max="16384" width="8.6640625" style="2"/>
  </cols>
  <sheetData>
    <row r="2" spans="2:6" ht="18" x14ac:dyDescent="0.2">
      <c r="B2" s="104" t="s">
        <v>76</v>
      </c>
      <c r="C2" s="104"/>
      <c r="D2" s="104"/>
    </row>
    <row r="3" spans="2:6" x14ac:dyDescent="0.15">
      <c r="B3" s="5"/>
      <c r="C3" s="5"/>
    </row>
    <row r="4" spans="2:6" ht="14" thickBot="1" x14ac:dyDescent="0.2">
      <c r="B4" s="105" t="s">
        <v>2</v>
      </c>
      <c r="C4" s="105"/>
      <c r="D4" s="105"/>
    </row>
    <row r="5" spans="2:6" ht="15" customHeight="1" x14ac:dyDescent="0.2">
      <c r="B5" s="2" t="s">
        <v>69</v>
      </c>
      <c r="C5" s="61" t="s">
        <v>8</v>
      </c>
      <c r="D5" s="106" t="s">
        <v>41</v>
      </c>
      <c r="F5"/>
    </row>
    <row r="6" spans="2:6" ht="15" x14ac:dyDescent="0.2">
      <c r="B6" s="3" t="s">
        <v>70</v>
      </c>
      <c r="C6" s="67">
        <v>750000</v>
      </c>
      <c r="D6" s="107"/>
      <c r="F6"/>
    </row>
    <row r="7" spans="2:6" ht="15" x14ac:dyDescent="0.2">
      <c r="B7" s="3" t="s">
        <v>71</v>
      </c>
      <c r="C7" s="62">
        <v>10</v>
      </c>
      <c r="D7" s="107"/>
      <c r="F7"/>
    </row>
    <row r="8" spans="2:6" ht="15" x14ac:dyDescent="0.2">
      <c r="B8" s="3" t="s">
        <v>72</v>
      </c>
      <c r="C8" s="63">
        <v>0.1</v>
      </c>
      <c r="D8" s="107"/>
      <c r="F8"/>
    </row>
    <row r="9" spans="2:6" ht="15" x14ac:dyDescent="0.2">
      <c r="B9" s="2" t="s">
        <v>77</v>
      </c>
      <c r="C9" s="64">
        <v>0</v>
      </c>
      <c r="D9" s="107"/>
      <c r="F9"/>
    </row>
    <row r="10" spans="2:6" ht="15" x14ac:dyDescent="0.2">
      <c r="B10" s="2" t="s">
        <v>78</v>
      </c>
      <c r="C10" s="64">
        <v>0</v>
      </c>
      <c r="D10" s="107"/>
      <c r="F10"/>
    </row>
    <row r="11" spans="2:6" ht="15" x14ac:dyDescent="0.2">
      <c r="B11" s="2" t="s">
        <v>79</v>
      </c>
      <c r="C11" s="64">
        <v>0</v>
      </c>
      <c r="D11" s="107"/>
      <c r="F11"/>
    </row>
    <row r="12" spans="2:6" ht="15" x14ac:dyDescent="0.2">
      <c r="B12" s="2" t="s">
        <v>80</v>
      </c>
      <c r="C12" s="64">
        <v>0</v>
      </c>
      <c r="D12" s="107"/>
      <c r="F12"/>
    </row>
    <row r="13" spans="2:6" ht="15" x14ac:dyDescent="0.2">
      <c r="B13" s="2" t="s">
        <v>81</v>
      </c>
      <c r="C13" s="64">
        <v>0</v>
      </c>
      <c r="D13" s="107"/>
      <c r="F13"/>
    </row>
    <row r="14" spans="2:6" ht="15" x14ac:dyDescent="0.2">
      <c r="B14" s="2" t="s">
        <v>82</v>
      </c>
      <c r="C14" s="64">
        <v>6.7000000000000002E-3</v>
      </c>
      <c r="D14" s="107"/>
      <c r="F14"/>
    </row>
    <row r="15" spans="2:6" ht="15" x14ac:dyDescent="0.2">
      <c r="B15" s="2" t="s">
        <v>83</v>
      </c>
      <c r="C15" s="64">
        <v>0</v>
      </c>
      <c r="D15" s="107"/>
      <c r="F15"/>
    </row>
    <row r="16" spans="2:6" ht="15" x14ac:dyDescent="0.2">
      <c r="B16" s="2" t="s">
        <v>84</v>
      </c>
      <c r="C16" s="64">
        <v>9.2999999999999992E-3</v>
      </c>
      <c r="D16" s="107"/>
      <c r="F16"/>
    </row>
    <row r="17" spans="2:6" ht="16" customHeight="1" thickBot="1" x14ac:dyDescent="0.2">
      <c r="B17" s="15" t="s">
        <v>85</v>
      </c>
      <c r="C17" s="100">
        <v>2.4400000000000002E-2</v>
      </c>
      <c r="D17" s="108"/>
    </row>
    <row r="19" spans="2:6" ht="14" thickBot="1" x14ac:dyDescent="0.2">
      <c r="B19" s="72" t="s">
        <v>39</v>
      </c>
      <c r="C19" s="73" t="s">
        <v>42</v>
      </c>
      <c r="D19" s="73" t="s">
        <v>43</v>
      </c>
    </row>
    <row r="20" spans="2:6" x14ac:dyDescent="0.15">
      <c r="B20" s="4" t="s">
        <v>1</v>
      </c>
      <c r="C20" s="75">
        <f>SUM(C21:C22)</f>
        <v>1886.7147915525011</v>
      </c>
      <c r="D20" s="76">
        <f>C20/$C$6</f>
        <v>2.5156197220700016E-3</v>
      </c>
      <c r="F20" s="19"/>
    </row>
    <row r="21" spans="2:6" x14ac:dyDescent="0.15">
      <c r="B21" s="8" t="s">
        <v>61</v>
      </c>
      <c r="C21" s="11">
        <f>IF(C5 = "USA", 0, MAX('Commision &amp; FX'!C36 *'AIF''s'!C6 + 'Commision &amp; FX'!C36* ('AIF''s'!C6 + 'AIF''s'!C34), 2 * IFERROR(_xlfn.XLOOKUP(C5, 'Commision &amp; FX'!B3:B31, 'Commision &amp; FX'!F3:F31, 0), 0)))</f>
        <v>1886.7147915525011</v>
      </c>
      <c r="D21" s="68">
        <f>+C21/$C$6</f>
        <v>2.5156197220700016E-3</v>
      </c>
      <c r="F21" s="19"/>
    </row>
    <row r="22" spans="2:6" x14ac:dyDescent="0.15">
      <c r="B22" s="12" t="s">
        <v>62</v>
      </c>
      <c r="C22" s="13">
        <f>IF(C5="Denmark",0,IFERROR((('Commision &amp; FX'!C35)*C6)+(C34+C6)*'Commision &amp; FX'!C35,"-"))</f>
        <v>0</v>
      </c>
      <c r="D22" s="69">
        <f>+C22/$C$6</f>
        <v>0</v>
      </c>
      <c r="F22" s="19"/>
    </row>
    <row r="23" spans="2:6" x14ac:dyDescent="0.15">
      <c r="B23" s="8"/>
      <c r="C23" s="11"/>
      <c r="D23" s="77"/>
      <c r="F23" s="19"/>
    </row>
    <row r="24" spans="2:6" x14ac:dyDescent="0.15">
      <c r="B24" s="4" t="s">
        <v>48</v>
      </c>
      <c r="C24" s="80">
        <f>SUM(C25)</f>
        <v>69749.999999999985</v>
      </c>
      <c r="D24" s="76">
        <f>C24/$C$6</f>
        <v>9.2999999999999985E-2</v>
      </c>
      <c r="F24" s="19"/>
    </row>
    <row r="25" spans="2:6" x14ac:dyDescent="0.15">
      <c r="B25" s="12" t="s">
        <v>60</v>
      </c>
      <c r="C25" s="13">
        <f>+IFERROR(C6*SUM(C15:C16)*C7,"-")</f>
        <v>69749.999999999985</v>
      </c>
      <c r="D25" s="69">
        <f>+C25/$C$6</f>
        <v>9.2999999999999985E-2</v>
      </c>
      <c r="E25" s="20"/>
      <c r="F25" s="19"/>
    </row>
    <row r="26" spans="2:6" x14ac:dyDescent="0.15">
      <c r="B26" s="8"/>
      <c r="C26" s="11"/>
      <c r="D26" s="77"/>
      <c r="E26" s="20"/>
      <c r="F26" s="19"/>
    </row>
    <row r="27" spans="2:6" x14ac:dyDescent="0.15">
      <c r="B27" s="9" t="s">
        <v>88</v>
      </c>
      <c r="C27" s="80">
        <f>SUM(C28:C29)</f>
        <v>79415.487019830034</v>
      </c>
      <c r="D27" s="76">
        <f>C27/$C$6</f>
        <v>0.10588731602644004</v>
      </c>
    </row>
    <row r="28" spans="2:6" x14ac:dyDescent="0.15">
      <c r="B28" s="8" t="s">
        <v>87</v>
      </c>
      <c r="C28" s="101">
        <f>+IFERROR(((C6*SUM(C9,C11:C14))*C7),"-")</f>
        <v>50250</v>
      </c>
      <c r="D28" s="102">
        <f>C28/$C$6</f>
        <v>6.7000000000000004E-2</v>
      </c>
    </row>
    <row r="29" spans="2:6" x14ac:dyDescent="0.15">
      <c r="B29" s="12" t="s">
        <v>86</v>
      </c>
      <c r="C29" s="13">
        <f>IF(C8&gt;0,IFERROR(((C34*SUM(C17,C10))),"0"),"0")</f>
        <v>29165.487019830038</v>
      </c>
      <c r="D29" s="69">
        <f>+C29/$C$6</f>
        <v>3.888731602644005E-2</v>
      </c>
    </row>
    <row r="30" spans="2:6" ht="14" thickBot="1" x14ac:dyDescent="0.2">
      <c r="B30" s="8"/>
      <c r="C30" s="11"/>
      <c r="D30" s="77"/>
    </row>
    <row r="31" spans="2:6" ht="14" thickBot="1" x14ac:dyDescent="0.2">
      <c r="B31" s="81" t="s">
        <v>75</v>
      </c>
      <c r="C31" s="82">
        <f>C28+C29+C25+C22+C21</f>
        <v>151052.20181138255</v>
      </c>
      <c r="D31" s="83">
        <f>+C31/$C$6</f>
        <v>0.20140293574851006</v>
      </c>
    </row>
    <row r="33" spans="2:4" ht="14" thickBot="1" x14ac:dyDescent="0.2">
      <c r="B33" s="105" t="s">
        <v>0</v>
      </c>
      <c r="C33" s="105"/>
      <c r="D33" s="105"/>
    </row>
    <row r="34" spans="2:4" x14ac:dyDescent="0.15">
      <c r="B34" s="9" t="s">
        <v>37</v>
      </c>
      <c r="C34" s="7">
        <f>IFERROR((C6*(1+C8)^C7)-C6,"-")</f>
        <v>1195306.8450750015</v>
      </c>
      <c r="D34" s="70">
        <f>+C34/$C$6</f>
        <v>1.5937424601000019</v>
      </c>
    </row>
    <row r="35" spans="2:4" ht="14" thickBot="1" x14ac:dyDescent="0.2">
      <c r="B35" s="10" t="s">
        <v>38</v>
      </c>
      <c r="C35" s="14">
        <f>+IFERROR(C34-C31,"-")</f>
        <v>1044254.6432636189</v>
      </c>
      <c r="D35" s="71">
        <f t="shared" ref="D35" si="0">+C35/$C$6</f>
        <v>1.392339524351492</v>
      </c>
    </row>
    <row r="36" spans="2:4" ht="14" thickTop="1" x14ac:dyDescent="0.15"/>
    <row r="38" spans="2:4" ht="15" x14ac:dyDescent="0.2">
      <c r="B38"/>
      <c r="C38"/>
    </row>
    <row r="39" spans="2:4" ht="15" x14ac:dyDescent="0.2">
      <c r="B39"/>
      <c r="C39"/>
    </row>
    <row r="40" spans="2:4" x14ac:dyDescent="0.15">
      <c r="B40" s="18"/>
    </row>
  </sheetData>
  <mergeCells count="4">
    <mergeCell ref="B2:D2"/>
    <mergeCell ref="B4:D4"/>
    <mergeCell ref="B33:D33"/>
    <mergeCell ref="D5:D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43DDAA8-3A08-C341-8E7A-D3B4E1BC9EE3}">
          <x14:formula1>
            <xm:f>'Commision &amp; FX'!$B$3:$B$31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0FAC-4871-4E34-A05C-8AA07A4EE854}">
  <dimension ref="B2:F36"/>
  <sheetViews>
    <sheetView showGridLines="0" tabSelected="1" zoomScale="115" zoomScaleNormal="85" workbookViewId="0">
      <selection activeCell="C23" sqref="C23"/>
    </sheetView>
  </sheetViews>
  <sheetFormatPr baseColWidth="10" defaultColWidth="8.83203125" defaultRowHeight="15" x14ac:dyDescent="0.2"/>
  <cols>
    <col min="2" max="2" width="15.33203125" bestFit="1" customWidth="1"/>
    <col min="3" max="3" width="17.5" bestFit="1" customWidth="1"/>
    <col min="4" max="4" width="17.5" customWidth="1"/>
    <col min="5" max="5" width="23.5" bestFit="1" customWidth="1"/>
    <col min="6" max="6" width="24.1640625" bestFit="1" customWidth="1"/>
  </cols>
  <sheetData>
    <row r="2" spans="2:6" x14ac:dyDescent="0.2">
      <c r="B2" s="21" t="s">
        <v>3</v>
      </c>
      <c r="C2" s="22" t="s">
        <v>6</v>
      </c>
      <c r="D2" s="22" t="s">
        <v>6</v>
      </c>
      <c r="E2" s="22" t="s">
        <v>7</v>
      </c>
      <c r="F2" s="21" t="s">
        <v>46</v>
      </c>
    </row>
    <row r="3" spans="2:6" x14ac:dyDescent="0.2">
      <c r="B3" s="23" t="s">
        <v>8</v>
      </c>
      <c r="C3" s="24">
        <v>10</v>
      </c>
      <c r="D3" s="91" t="s">
        <v>67</v>
      </c>
      <c r="E3" s="25">
        <v>1</v>
      </c>
      <c r="F3" s="26">
        <f t="shared" ref="F3:F30" si="0">+C3*E3</f>
        <v>10</v>
      </c>
    </row>
    <row r="4" spans="2:6" x14ac:dyDescent="0.2">
      <c r="B4" s="23" t="s">
        <v>9</v>
      </c>
      <c r="C4" s="27">
        <v>10</v>
      </c>
      <c r="D4" s="91" t="s">
        <v>67</v>
      </c>
      <c r="E4" s="25">
        <v>0.75</v>
      </c>
      <c r="F4" s="26">
        <f t="shared" si="0"/>
        <v>7.5</v>
      </c>
    </row>
    <row r="5" spans="2:6" x14ac:dyDescent="0.2">
      <c r="B5" s="23" t="s">
        <v>10</v>
      </c>
      <c r="C5" s="66">
        <v>10</v>
      </c>
      <c r="D5" s="91" t="s">
        <v>67</v>
      </c>
      <c r="E5" s="25">
        <v>0.8</v>
      </c>
      <c r="F5" s="26">
        <f t="shared" si="0"/>
        <v>8</v>
      </c>
    </row>
    <row r="6" spans="2:6" x14ac:dyDescent="0.2">
      <c r="B6" s="23" t="s">
        <v>11</v>
      </c>
      <c r="C6" s="60">
        <v>2</v>
      </c>
      <c r="D6" s="91" t="s">
        <v>67</v>
      </c>
      <c r="E6" s="25">
        <v>7.45</v>
      </c>
      <c r="F6" s="26">
        <f t="shared" si="0"/>
        <v>14.9</v>
      </c>
    </row>
    <row r="7" spans="2:6" x14ac:dyDescent="0.2">
      <c r="B7" s="23" t="s">
        <v>12</v>
      </c>
      <c r="C7" s="60">
        <v>2</v>
      </c>
      <c r="D7" s="91" t="s">
        <v>67</v>
      </c>
      <c r="E7" s="25">
        <v>7.45</v>
      </c>
      <c r="F7" s="26">
        <f t="shared" si="0"/>
        <v>14.9</v>
      </c>
    </row>
    <row r="8" spans="2:6" x14ac:dyDescent="0.2">
      <c r="B8" s="23" t="s">
        <v>13</v>
      </c>
      <c r="C8" s="60">
        <v>2</v>
      </c>
      <c r="D8" s="91" t="s">
        <v>67</v>
      </c>
      <c r="E8" s="25">
        <v>7.45</v>
      </c>
      <c r="F8" s="26">
        <f t="shared" si="0"/>
        <v>14.9</v>
      </c>
    </row>
    <row r="9" spans="2:6" x14ac:dyDescent="0.2">
      <c r="B9" s="23" t="s">
        <v>14</v>
      </c>
      <c r="C9" s="60">
        <v>2</v>
      </c>
      <c r="D9" s="91" t="s">
        <v>67</v>
      </c>
      <c r="E9" s="25">
        <v>7.45</v>
      </c>
      <c r="F9" s="26">
        <f t="shared" si="0"/>
        <v>14.9</v>
      </c>
    </row>
    <row r="10" spans="2:6" x14ac:dyDescent="0.2">
      <c r="B10" s="23" t="s">
        <v>4</v>
      </c>
      <c r="C10" s="60">
        <v>2</v>
      </c>
      <c r="D10" s="91" t="s">
        <v>67</v>
      </c>
      <c r="E10" s="25">
        <v>7.45</v>
      </c>
      <c r="F10" s="26">
        <f t="shared" si="0"/>
        <v>14.9</v>
      </c>
    </row>
    <row r="11" spans="2:6" x14ac:dyDescent="0.2">
      <c r="B11" s="23" t="s">
        <v>15</v>
      </c>
      <c r="C11" s="28">
        <v>2</v>
      </c>
      <c r="D11" s="91" t="s">
        <v>67</v>
      </c>
      <c r="E11" s="25">
        <v>7.45</v>
      </c>
      <c r="F11" s="26">
        <f t="shared" si="0"/>
        <v>14.9</v>
      </c>
    </row>
    <row r="12" spans="2:6" x14ac:dyDescent="0.2">
      <c r="B12" s="23" t="s">
        <v>16</v>
      </c>
      <c r="C12" s="28">
        <v>2</v>
      </c>
      <c r="D12" s="91" t="s">
        <v>67</v>
      </c>
      <c r="E12" s="25">
        <v>7.45</v>
      </c>
      <c r="F12" s="26">
        <f t="shared" si="0"/>
        <v>14.9</v>
      </c>
    </row>
    <row r="13" spans="2:6" x14ac:dyDescent="0.2">
      <c r="B13" s="23" t="s">
        <v>17</v>
      </c>
      <c r="C13" s="28">
        <v>2</v>
      </c>
      <c r="D13" s="91" t="s">
        <v>67</v>
      </c>
      <c r="E13" s="25">
        <v>7.45</v>
      </c>
      <c r="F13" s="26">
        <f t="shared" si="0"/>
        <v>14.9</v>
      </c>
    </row>
    <row r="14" spans="2:6" x14ac:dyDescent="0.2">
      <c r="B14" s="23" t="s">
        <v>18</v>
      </c>
      <c r="C14" s="28">
        <v>2</v>
      </c>
      <c r="D14" s="91" t="s">
        <v>67</v>
      </c>
      <c r="E14" s="25">
        <v>7.45</v>
      </c>
      <c r="F14" s="26">
        <f t="shared" si="0"/>
        <v>14.9</v>
      </c>
    </row>
    <row r="15" spans="2:6" x14ac:dyDescent="0.2">
      <c r="B15" s="23" t="s">
        <v>19</v>
      </c>
      <c r="C15" s="28">
        <v>2</v>
      </c>
      <c r="D15" s="91" t="s">
        <v>67</v>
      </c>
      <c r="E15" s="25">
        <v>7.45</v>
      </c>
      <c r="F15" s="26">
        <f t="shared" si="0"/>
        <v>14.9</v>
      </c>
    </row>
    <row r="16" spans="2:6" x14ac:dyDescent="0.2">
      <c r="B16" s="23" t="s">
        <v>20</v>
      </c>
      <c r="C16" s="28">
        <v>2</v>
      </c>
      <c r="D16" s="91" t="s">
        <v>67</v>
      </c>
      <c r="E16" s="25">
        <v>7.45</v>
      </c>
      <c r="F16" s="26">
        <f t="shared" si="0"/>
        <v>14.9</v>
      </c>
    </row>
    <row r="17" spans="2:6" x14ac:dyDescent="0.2">
      <c r="B17" s="23" t="s">
        <v>21</v>
      </c>
      <c r="C17" s="29">
        <v>2.5</v>
      </c>
      <c r="D17" s="91" t="s">
        <v>67</v>
      </c>
      <c r="E17" s="25">
        <v>8.4</v>
      </c>
      <c r="F17" s="26">
        <f t="shared" si="0"/>
        <v>21</v>
      </c>
    </row>
    <row r="18" spans="2:6" x14ac:dyDescent="0.2">
      <c r="B18" s="23" t="s">
        <v>22</v>
      </c>
      <c r="C18" s="30">
        <v>2.5</v>
      </c>
      <c r="D18" s="91" t="s">
        <v>67</v>
      </c>
      <c r="E18" s="25">
        <v>7.45</v>
      </c>
      <c r="F18" s="26">
        <f t="shared" si="0"/>
        <v>18.625</v>
      </c>
    </row>
    <row r="19" spans="2:6" x14ac:dyDescent="0.2">
      <c r="B19" s="23" t="s">
        <v>23</v>
      </c>
      <c r="C19" s="31">
        <v>70</v>
      </c>
      <c r="D19" s="91" t="s">
        <v>67</v>
      </c>
      <c r="E19" s="25">
        <v>0.3</v>
      </c>
      <c r="F19" s="26">
        <f t="shared" si="0"/>
        <v>21</v>
      </c>
    </row>
    <row r="20" spans="2:6" x14ac:dyDescent="0.2">
      <c r="B20" s="23" t="s">
        <v>24</v>
      </c>
      <c r="C20" s="32">
        <v>500</v>
      </c>
      <c r="D20" s="91" t="s">
        <v>67</v>
      </c>
      <c r="E20" s="33">
        <v>2.1999999999999999E-2</v>
      </c>
      <c r="F20" s="26">
        <f t="shared" si="0"/>
        <v>11</v>
      </c>
    </row>
    <row r="21" spans="2:6" x14ac:dyDescent="0.2">
      <c r="B21" s="23" t="s">
        <v>25</v>
      </c>
      <c r="C21" s="34">
        <v>10</v>
      </c>
      <c r="D21" s="91" t="s">
        <v>67</v>
      </c>
      <c r="E21" s="25">
        <v>0.56999999999999995</v>
      </c>
      <c r="F21" s="26">
        <f t="shared" si="0"/>
        <v>5.6999999999999993</v>
      </c>
    </row>
    <row r="22" spans="2:6" x14ac:dyDescent="0.2">
      <c r="B22" s="23" t="s">
        <v>5</v>
      </c>
      <c r="C22" s="35">
        <v>30</v>
      </c>
      <c r="D22" s="91" t="s">
        <v>67</v>
      </c>
      <c r="E22" s="25">
        <v>1.96</v>
      </c>
      <c r="F22" s="26">
        <f t="shared" si="0"/>
        <v>58.8</v>
      </c>
    </row>
    <row r="23" spans="2:6" x14ac:dyDescent="0.2">
      <c r="B23" s="23" t="s">
        <v>26</v>
      </c>
      <c r="C23" s="36" t="str">
        <f>+"-"</f>
        <v>-</v>
      </c>
      <c r="D23" s="36" t="str">
        <f>+"-"</f>
        <v>-</v>
      </c>
      <c r="E23" s="25">
        <v>0</v>
      </c>
      <c r="F23" s="26" t="str">
        <f>+"-"</f>
        <v>-</v>
      </c>
    </row>
    <row r="24" spans="2:6" x14ac:dyDescent="0.2">
      <c r="B24" s="23" t="s">
        <v>27</v>
      </c>
      <c r="C24" s="37">
        <v>4</v>
      </c>
      <c r="D24" s="91" t="s">
        <v>67</v>
      </c>
      <c r="E24" s="25">
        <v>5.4</v>
      </c>
      <c r="F24" s="26">
        <f t="shared" si="0"/>
        <v>21.6</v>
      </c>
    </row>
    <row r="25" spans="2:6" x14ac:dyDescent="0.2">
      <c r="B25" s="23" t="s">
        <v>28</v>
      </c>
      <c r="C25" s="38">
        <v>2.5</v>
      </c>
      <c r="D25" s="91" t="s">
        <v>67</v>
      </c>
      <c r="E25" s="25">
        <v>0.4</v>
      </c>
      <c r="F25" s="26">
        <f t="shared" si="0"/>
        <v>1</v>
      </c>
    </row>
    <row r="26" spans="2:6" x14ac:dyDescent="0.2">
      <c r="B26" s="23" t="s">
        <v>29</v>
      </c>
      <c r="C26" s="38">
        <v>2.5</v>
      </c>
      <c r="D26" s="91" t="s">
        <v>67</v>
      </c>
      <c r="E26" s="25">
        <v>4.5999999999999996</v>
      </c>
      <c r="F26" s="26">
        <f t="shared" si="0"/>
        <v>11.5</v>
      </c>
    </row>
    <row r="27" spans="2:6" x14ac:dyDescent="0.2">
      <c r="B27" s="23" t="s">
        <v>30</v>
      </c>
      <c r="C27" s="39">
        <v>14</v>
      </c>
      <c r="D27" s="91" t="s">
        <v>67</v>
      </c>
      <c r="E27" s="25">
        <v>1.05</v>
      </c>
      <c r="F27" s="26">
        <f t="shared" si="0"/>
        <v>14.700000000000001</v>
      </c>
    </row>
    <row r="28" spans="2:6" x14ac:dyDescent="0.2">
      <c r="B28" s="23" t="s">
        <v>31</v>
      </c>
      <c r="C28" s="40">
        <v>700</v>
      </c>
      <c r="D28" s="91" t="s">
        <v>67</v>
      </c>
      <c r="E28" s="41">
        <v>5.8000000000000003E-2</v>
      </c>
      <c r="F28" s="26">
        <f t="shared" si="0"/>
        <v>40.6</v>
      </c>
    </row>
    <row r="29" spans="2:6" x14ac:dyDescent="0.2">
      <c r="B29" s="23" t="s">
        <v>32</v>
      </c>
      <c r="C29" s="42">
        <v>14</v>
      </c>
      <c r="D29" s="91" t="s">
        <v>67</v>
      </c>
      <c r="E29" s="25">
        <v>1.2</v>
      </c>
      <c r="F29" s="26">
        <f t="shared" si="0"/>
        <v>16.8</v>
      </c>
    </row>
    <row r="30" spans="2:6" x14ac:dyDescent="0.2">
      <c r="B30" s="23" t="s">
        <v>33</v>
      </c>
      <c r="C30" s="43">
        <v>250</v>
      </c>
      <c r="D30" s="91" t="s">
        <v>67</v>
      </c>
      <c r="E30" s="25">
        <v>0.3</v>
      </c>
      <c r="F30" s="26">
        <f t="shared" si="0"/>
        <v>75</v>
      </c>
    </row>
    <row r="31" spans="2:6" x14ac:dyDescent="0.2">
      <c r="B31" s="44" t="s">
        <v>34</v>
      </c>
      <c r="C31" s="45">
        <v>2.5</v>
      </c>
      <c r="D31" s="92" t="s">
        <v>67</v>
      </c>
      <c r="E31" s="46">
        <v>5.0999999999999996</v>
      </c>
      <c r="F31" s="47">
        <f>+C31*E31</f>
        <v>12.75</v>
      </c>
    </row>
    <row r="32" spans="2:6" x14ac:dyDescent="0.2">
      <c r="B32" s="93"/>
      <c r="C32" s="94"/>
      <c r="D32" s="95"/>
      <c r="E32" s="96"/>
      <c r="F32" s="97"/>
    </row>
    <row r="33" spans="2:6" x14ac:dyDescent="0.2">
      <c r="B33" s="93" t="s">
        <v>68</v>
      </c>
      <c r="C33" s="6">
        <v>6.9999999999999999E-4</v>
      </c>
      <c r="D33" s="95"/>
      <c r="E33" s="96"/>
      <c r="F33" s="97"/>
    </row>
    <row r="35" spans="2:6" ht="16" hidden="1" x14ac:dyDescent="0.2">
      <c r="B35" s="1" t="s">
        <v>35</v>
      </c>
      <c r="C35" s="6">
        <v>2.5000000000000001E-3</v>
      </c>
      <c r="D35" s="6"/>
    </row>
    <row r="36" spans="2:6" ht="32" hidden="1" x14ac:dyDescent="0.2">
      <c r="B36" s="17" t="s">
        <v>47</v>
      </c>
      <c r="C36" s="6">
        <v>6.9999999999999999E-4</v>
      </c>
      <c r="D36" s="6"/>
    </row>
  </sheetData>
  <pageMargins left="0.7" right="0.7" top="0.75" bottom="0.75" header="0.3" footer="0.3"/>
  <ignoredErrors>
    <ignoredError sqref="F23"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Stock</vt:lpstr>
      <vt:lpstr>ETF</vt:lpstr>
      <vt:lpstr>Mutual Funds</vt:lpstr>
      <vt:lpstr>AIF's</vt:lpstr>
      <vt:lpstr>Commision &amp; FX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Endavu</dc:creator>
  <cp:lastModifiedBy>Jesper Borgstrup</cp:lastModifiedBy>
  <dcterms:created xsi:type="dcterms:W3CDTF">2024-12-04T15:33:04Z</dcterms:created>
  <dcterms:modified xsi:type="dcterms:W3CDTF">2026-03-11T07:35:51Z</dcterms:modified>
</cp:coreProperties>
</file>